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925" codeName="{3D1A710C-6663-3D7B-7F91-EC182F24A4BC}"/>
  <workbookPr codeName="ThisWorkbook"/>
  <mc:AlternateContent xmlns:mc="http://schemas.openxmlformats.org/markup-compatibility/2006">
    <mc:Choice Requires="x15">
      <x15ac:absPath xmlns:x15ac="http://schemas.microsoft.com/office/spreadsheetml/2010/11/ac" url="C:\Users\Alexander_Armitage\Documents\GitHub\AURA\PDB_AURA\"/>
    </mc:Choice>
  </mc:AlternateContent>
  <xr:revisionPtr revIDLastSave="0" documentId="13_ncr:1_{ACD4856C-32E7-4E7D-90FF-5F815C52F8A7}" xr6:coauthVersionLast="47" xr6:coauthVersionMax="47" xr10:uidLastSave="{00000000-0000-0000-0000-000000000000}"/>
  <workbookProtection workbookAlgorithmName="SHA-512" workbookHashValue="9wToXEgJDC0XYsEauXQliR369bzOVYpxzBlQCX5yU9+QK8pkljS/1uDCzHc4G1prbZWc2LOQ0LQw9UCbzbqOJQ==" workbookSaltValue="2e0uLmMBKWAAu0WADn+orQ==" workbookSpinCount="100000" lockStructure="1"/>
  <bookViews>
    <workbookView xWindow="-120" yWindow="-120" windowWidth="29040" windowHeight="15720"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81029"/>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E70" i="1" s="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83" i="2"/>
  <c r="B23" i="4" s="1"/>
  <c r="B186" i="2"/>
  <c r="B199" i="2"/>
  <c r="D6" i="6"/>
  <c r="D7" i="6"/>
  <c r="D9" i="6"/>
  <c r="D10" i="6"/>
  <c r="D2" i="11"/>
  <c r="D3" i="11"/>
  <c r="B5" i="11"/>
  <c r="D5" i="11" s="1"/>
  <c r="B15" i="4"/>
  <c r="B20"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0" i="8"/>
  <c r="A62" i="8" s="1"/>
  <c r="A74" i="8" s="1"/>
  <c r="A86" i="8" s="1"/>
  <c r="A98" i="8" s="1"/>
  <c r="A110" i="8" s="1"/>
  <c r="A122" i="8" s="1"/>
  <c r="A134" i="8" s="1"/>
  <c r="A146" i="8" s="1"/>
  <c r="A158"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Q36" i="3"/>
  <c r="A32" i="3"/>
  <c r="AQ32" i="3" s="1"/>
  <c r="AR22" i="3"/>
  <c r="AQ20" i="3"/>
  <c r="B30" i="3"/>
  <c r="B22" i="3"/>
  <c r="A37" i="3"/>
  <c r="AR37" i="3" s="1"/>
  <c r="AR27" i="3"/>
  <c r="AQ22" i="3"/>
  <c r="AR19" i="3"/>
  <c r="B32" i="3"/>
  <c r="AR32" i="3"/>
  <c r="B23" i="3"/>
  <c r="AR23" i="3"/>
  <c r="AL10" i="4" l="1"/>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E69" i="1" s="1"/>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E68" i="1" l="1"/>
  <c r="E67" i="1"/>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O139" i="4"/>
  <c r="AQ139" i="4" s="1"/>
  <c r="AU139" i="4" s="1"/>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R30" i="8"/>
  <c r="R28" i="8"/>
  <c r="AQ41" i="3"/>
  <c r="AR41" i="3"/>
  <c r="A42" i="3"/>
  <c r="B41" i="3"/>
  <c r="D41" i="3"/>
  <c r="C41" i="3"/>
  <c r="G41" i="3"/>
  <c r="H41" i="3" s="1"/>
  <c r="F41" i="3"/>
  <c r="BN40" i="3"/>
  <c r="AR132" i="4" l="1"/>
  <c r="AO79" i="4"/>
  <c r="AQ79" i="4" s="1"/>
  <c r="AU79" i="4" s="1"/>
  <c r="AR14" i="4"/>
  <c r="AO14" i="4"/>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Q14" i="4"/>
  <c r="AU14"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684" i="3"/>
  <c r="AF684" i="3" s="1"/>
  <c r="BN43" i="3"/>
  <c r="BM43" i="3"/>
  <c r="AR44" i="3"/>
  <c r="B44" i="3"/>
  <c r="AQ44" i="3"/>
  <c r="A45" i="3"/>
  <c r="C44" i="3"/>
  <c r="AM44" i="3"/>
  <c r="AK44" i="3"/>
  <c r="AD44" i="3"/>
  <c r="O44" i="3"/>
  <c r="AF44" i="3"/>
  <c r="AE44" i="3"/>
  <c r="M44" i="3"/>
  <c r="P44" i="3"/>
  <c r="F44" i="3"/>
  <c r="D44" i="3"/>
  <c r="G44" i="3"/>
  <c r="H44" i="3" s="1"/>
  <c r="AG33" i="3" l="1"/>
  <c r="AH42" i="3"/>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AT20" i="3" s="1"/>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19" i="3" l="1"/>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Y12" i="3" s="1"/>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AO685" i="3" s="1"/>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V15" i="3" s="1"/>
  <c r="AX29" i="3"/>
  <c r="AW34" i="3"/>
  <c r="AX9" i="3"/>
  <c r="AX34" i="3"/>
  <c r="AX39" i="3"/>
  <c r="AX11" i="3"/>
  <c r="AX682" i="3"/>
  <c r="AY682" i="3" s="1"/>
  <c r="AW28" i="3"/>
  <c r="AU9" i="3"/>
  <c r="AU3" i="3" s="1"/>
  <c r="AU4" i="3" s="1"/>
  <c r="AT9" i="3"/>
  <c r="AT3" i="3" s="1"/>
  <c r="AT4" i="3" s="1"/>
  <c r="AW9" i="3"/>
  <c r="AT21" i="3"/>
  <c r="AX42" i="3"/>
  <c r="AI9" i="3"/>
  <c r="AU42" i="3"/>
  <c r="AV42" i="3" s="1"/>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V20" i="3" s="1"/>
  <c r="AW20" i="3"/>
  <c r="X684" i="3"/>
  <c r="AW32" i="3"/>
  <c r="AX36" i="3"/>
  <c r="AW35" i="3"/>
  <c r="AU32" i="3"/>
  <c r="AU36" i="3"/>
  <c r="AU19" i="3"/>
  <c r="AV19" i="3" s="1"/>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Y16" i="3" l="1"/>
  <c r="AY21" i="3"/>
  <c r="BA29" i="3"/>
  <c r="BB29" i="3" s="1"/>
  <c r="AV12" i="3"/>
  <c r="BC12" i="3" s="1"/>
  <c r="BD12" i="3" s="1"/>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BC16" i="3" s="1"/>
  <c r="BG16" i="3" s="1"/>
  <c r="BH16" i="3" s="1"/>
  <c r="BI16" i="3" s="1"/>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BC15" i="3" s="1"/>
  <c r="BG15" i="3" s="1"/>
  <c r="BH15" i="3" s="1"/>
  <c r="BI15" i="3" s="1"/>
  <c r="AV34" i="3"/>
  <c r="BA15" i="3"/>
  <c r="BQ15" i="3" s="1"/>
  <c r="BA42" i="3"/>
  <c r="BQ42" i="3" s="1"/>
  <c r="AY42" i="3"/>
  <c r="BC42" i="3" s="1"/>
  <c r="AV36" i="3"/>
  <c r="AV31" i="3"/>
  <c r="BA19" i="3"/>
  <c r="BB19" i="3" s="1"/>
  <c r="AV39" i="3"/>
  <c r="AY20" i="3"/>
  <c r="BC20" i="3" s="1"/>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BC19" i="3" s="1"/>
  <c r="BD19" i="3" s="1"/>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43" i="3" l="1"/>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G12" i="3"/>
  <c r="BH12" i="3" s="1"/>
  <c r="BI12"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G42" i="3"/>
  <c r="BH42" i="3" s="1"/>
  <c r="BI42" i="3" s="1"/>
  <c r="BD42" i="3"/>
  <c r="BG20" i="3"/>
  <c r="BH20" i="3" s="1"/>
  <c r="BI20" i="3" s="1"/>
  <c r="BD20" i="3"/>
  <c r="BQ20" i="3"/>
  <c r="BJ20" i="3"/>
  <c r="BK20" i="3" s="1"/>
  <c r="BB682" i="3"/>
  <c r="BQ39" i="3"/>
  <c r="BF13" i="3"/>
  <c r="BG682" i="3"/>
  <c r="BH682" i="3" s="1"/>
  <c r="BI682" i="3" s="1"/>
  <c r="BB39" i="3"/>
  <c r="BF35" i="3"/>
  <c r="BJ34" i="3" s="1"/>
  <c r="BK34" i="3" s="1"/>
  <c r="BQ41" i="3"/>
  <c r="BB41" i="3"/>
  <c r="BQ11" i="3"/>
  <c r="BG19" i="3"/>
  <c r="BH19" i="3" s="1"/>
  <c r="BI19" i="3" s="1"/>
  <c r="BC13" i="3"/>
  <c r="BG13" i="3" s="1"/>
  <c r="BH13" i="3" s="1"/>
  <c r="BI13" i="3" s="1"/>
  <c r="BD35" i="3"/>
  <c r="BB32" i="3"/>
  <c r="BQ35" i="3"/>
  <c r="BN47" i="3"/>
  <c r="BD15" i="3"/>
  <c r="BD16"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43" i="3" l="1"/>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BM50" i="3" s="1"/>
  <c r="R50" i="3"/>
  <c r="AU48" i="3"/>
  <c r="AX48" i="3"/>
  <c r="X49" i="3"/>
  <c r="AH49" i="3"/>
  <c r="AY47" i="3"/>
  <c r="AT48" i="3"/>
  <c r="AG49" i="3"/>
  <c r="AO49" i="3"/>
  <c r="BG687" i="3" l="1"/>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BM57" i="3" s="1"/>
  <c r="S57" i="3"/>
  <c r="AG56" i="3"/>
  <c r="AO56" i="3"/>
  <c r="AO57" i="3" l="1"/>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BN64" i="3" s="1"/>
  <c r="T64" i="3"/>
  <c r="AX62" i="3"/>
  <c r="X63" i="3"/>
  <c r="AH63" i="3"/>
  <c r="AN63" i="3"/>
  <c r="BG60" i="3" l="1"/>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K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M68" i="3" l="1"/>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BM85" i="3" s="1"/>
  <c r="G85" i="3"/>
  <c r="H85" i="3" s="1"/>
  <c r="BG81" i="3" l="1"/>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K81" i="3" s="1"/>
  <c r="BQ82" i="3"/>
  <c r="AO85" i="3"/>
  <c r="AX84" i="3"/>
  <c r="AY83" i="3"/>
  <c r="AH85" i="3"/>
  <c r="X85" i="3"/>
  <c r="AW84" i="3"/>
  <c r="BF83" i="3" l="1"/>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BK93" i="3" s="1"/>
  <c r="AU96" i="3"/>
  <c r="AH97" i="3"/>
  <c r="AN97" i="3"/>
  <c r="AT96" i="3"/>
  <c r="BM98" i="3" l="1"/>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BK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M115" i="3" l="1"/>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K113" i="3" s="1"/>
  <c r="BQ114" i="3"/>
  <c r="AW116" i="3"/>
  <c r="X117" i="3"/>
  <c r="BN117" i="3"/>
  <c r="AG117" i="3"/>
  <c r="AN117" i="3"/>
  <c r="AU116" i="3"/>
  <c r="Y117" i="3"/>
  <c r="Z117" i="3" s="1"/>
  <c r="AT116" i="3"/>
  <c r="BA115" i="3"/>
  <c r="BN118" i="3" l="1"/>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BN136" i="3" s="1"/>
  <c r="T136" i="3"/>
  <c r="AH135" i="3"/>
  <c r="X135" i="3"/>
  <c r="BK131" i="3" l="1"/>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BK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D142" i="3" l="1"/>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BM166" i="3" s="1"/>
  <c r="S166" i="3"/>
  <c r="AG165" i="3"/>
  <c r="AH165" i="3"/>
  <c r="BN166" i="3" l="1"/>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T172" i="3"/>
  <c r="X171" i="3"/>
  <c r="BM172" i="3" l="1"/>
  <c r="BC169" i="3"/>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BN174" i="3" s="1"/>
  <c r="F174" i="3"/>
  <c r="AU172" i="3"/>
  <c r="AW172" i="3"/>
  <c r="AT172" i="3"/>
  <c r="X173" i="3"/>
  <c r="AG173" i="3"/>
  <c r="AH173" i="3"/>
  <c r="AN173" i="3"/>
  <c r="BJ169" i="3"/>
  <c r="BK169" i="3" l="1"/>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S176" i="3"/>
  <c r="AW174" i="3"/>
  <c r="X175" i="3"/>
  <c r="BM175" i="3"/>
  <c r="AH175" i="3"/>
  <c r="AN175" i="3"/>
  <c r="AT174" i="3"/>
  <c r="BA173" i="3"/>
  <c r="AU174" i="3"/>
  <c r="BN176" i="3" l="1"/>
  <c r="BD172" i="3"/>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s="1"/>
  <c r="BN218" i="3" l="1"/>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BN244" i="3" s="1"/>
  <c r="T244" i="3"/>
  <c r="X243" i="3"/>
  <c r="AT242" i="3"/>
  <c r="AW242" i="3"/>
  <c r="AY242" i="3" l="1"/>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BN311" i="3" s="1"/>
  <c r="S311" i="3"/>
  <c r="AT310" i="3" l="1"/>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BD373" i="3"/>
  <c r="AH376" i="3"/>
  <c r="AT375" i="3"/>
  <c r="BM377" i="3" l="1"/>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BD385" i="3"/>
  <c r="Y388" i="3"/>
  <c r="Z388" i="3" s="1"/>
  <c r="BM389" i="3" l="1"/>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T415" i="3"/>
  <c r="BM414" i="3"/>
  <c r="AH414" i="3"/>
  <c r="AO414" i="3"/>
  <c r="BA412" i="3"/>
  <c r="AU413" i="3"/>
  <c r="BB411" i="3"/>
  <c r="BQ411" i="3"/>
  <c r="BF411" i="3"/>
  <c r="BJ410" i="3" s="1"/>
  <c r="BK410" i="3" s="1"/>
  <c r="AG414" i="3"/>
  <c r="BM415" i="3" l="1"/>
  <c r="BG411" i="3"/>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BM424" i="3" s="1"/>
  <c r="T424" i="3"/>
  <c r="AH423" i="3"/>
  <c r="AO423" i="3"/>
  <c r="BB420" i="3"/>
  <c r="BQ420" i="3"/>
  <c r="BF420" i="3"/>
  <c r="BJ419" i="3" s="1"/>
  <c r="BK419" i="3" s="1"/>
  <c r="AW422" i="3"/>
  <c r="AT422" i="3"/>
  <c r="AU422" i="3"/>
  <c r="AX422" i="3"/>
  <c r="Y423" i="3"/>
  <c r="Z423" i="3" s="1"/>
  <c r="X423" i="3"/>
  <c r="BN424" i="3" l="1"/>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BM441" i="3" s="1"/>
  <c r="AH440" i="3"/>
  <c r="AY438" i="3"/>
  <c r="AG440" i="3"/>
  <c r="AN440" i="3"/>
  <c r="X440" i="3"/>
  <c r="BC437" i="3"/>
  <c r="AX439" i="3"/>
  <c r="BC438" i="3" l="1"/>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BN466" i="3" s="1"/>
  <c r="F466" i="3"/>
  <c r="BM466" i="3" s="1"/>
  <c r="BJ460" i="3"/>
  <c r="BK460" i="3" s="1"/>
  <c r="AU464" i="3"/>
  <c r="BC463" i="3" l="1"/>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C470" i="3" s="1"/>
  <c r="BF469" i="3"/>
  <c r="BJ468" i="3" s="1"/>
  <c r="BK468" i="3" s="1"/>
  <c r="BQ469" i="3"/>
  <c r="BB469" i="3"/>
  <c r="AW471" i="3"/>
  <c r="AH472" i="3"/>
  <c r="AN472" i="3"/>
  <c r="X472" i="3"/>
  <c r="AT471" i="3"/>
  <c r="AU471" i="3"/>
  <c r="BD469" i="3" l="1"/>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BM474" i="3" s="1"/>
  <c r="G474" i="3"/>
  <c r="H474" i="3" s="1"/>
  <c r="AX472" i="3"/>
  <c r="AT472" i="3"/>
  <c r="AG473" i="3"/>
  <c r="AH473" i="3"/>
  <c r="AN473" i="3"/>
  <c r="X473" i="3"/>
  <c r="BD470" i="3"/>
  <c r="BG470" i="3"/>
  <c r="BH470" i="3" s="1"/>
  <c r="BI470" i="3" s="1"/>
  <c r="Y473" i="3"/>
  <c r="Z473" i="3" s="1"/>
  <c r="AV471" i="3"/>
  <c r="AW472" i="3"/>
  <c r="AO474" i="3" l="1"/>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T475" i="3"/>
  <c r="AG474" i="3"/>
  <c r="AH474" i="3"/>
  <c r="X474" i="3"/>
  <c r="BM475" i="3" l="1"/>
  <c r="BN475" i="3"/>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T477" i="3"/>
  <c r="AG476" i="3"/>
  <c r="AN476" i="3"/>
  <c r="AU475" i="3"/>
  <c r="BJ472" i="3"/>
  <c r="BK472" i="3" s="1"/>
  <c r="BD472" i="3"/>
  <c r="BG472" i="3"/>
  <c r="BH472" i="3" s="1"/>
  <c r="BI472" i="3" s="1"/>
  <c r="Y476" i="3"/>
  <c r="Z476" i="3" s="1"/>
  <c r="AX475" i="3"/>
  <c r="AH476" i="3"/>
  <c r="X476" i="3"/>
  <c r="AT475" i="3"/>
  <c r="BM477" i="3" l="1"/>
  <c r="BN477" i="3"/>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BN495" i="3" s="1"/>
  <c r="F495" i="3"/>
  <c r="BM495" i="3" l="1"/>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BN499" i="3" s="1"/>
  <c r="T499" i="3"/>
  <c r="BM499" i="3" l="1"/>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AU508" i="3" s="1"/>
  <c r="X508" i="3"/>
  <c r="AT507" i="3"/>
  <c r="BD505" i="3" l="1"/>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BM512" i="3" s="1"/>
  <c r="T512" i="3"/>
  <c r="BB508" i="3"/>
  <c r="BF508" i="3"/>
  <c r="BJ507" i="3" s="1"/>
  <c r="BK507" i="3" s="1"/>
  <c r="BQ508" i="3"/>
  <c r="AG511" i="3"/>
  <c r="AH511" i="3"/>
  <c r="X511" i="3"/>
  <c r="AV510" i="3" l="1"/>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T514" i="3"/>
  <c r="BN513" i="3"/>
  <c r="AH513" i="3"/>
  <c r="AO513" i="3"/>
  <c r="X513" i="3"/>
  <c r="AW512" i="3"/>
  <c r="BM514" i="3" l="1"/>
  <c r="BN514" i="3"/>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BM540" i="3" s="1"/>
  <c r="G540" i="3"/>
  <c r="H540" i="3" s="1"/>
  <c r="BN540" i="3" s="1"/>
  <c r="AN539" i="3"/>
  <c r="BA537" i="3"/>
  <c r="BD536" i="3" l="1"/>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c r="BH573" i="3" s="1"/>
  <c r="BI573" i="3" s="1"/>
  <c r="BM577" i="3" l="1"/>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T584" i="3"/>
  <c r="AH583" i="3"/>
  <c r="X583" i="3"/>
  <c r="BN584" i="3" l="1"/>
  <c r="BG580" i="3"/>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BM591" i="3" s="1"/>
  <c r="G591" i="3"/>
  <c r="H591" i="3" s="1"/>
  <c r="Y590" i="3"/>
  <c r="Z590" i="3" s="1"/>
  <c r="AV588" i="3"/>
  <c r="BA588" i="3"/>
  <c r="X590" i="3"/>
  <c r="BM590" i="3"/>
  <c r="AH590" i="3"/>
  <c r="AO590" i="3"/>
  <c r="AX589" i="3"/>
  <c r="BB587" i="3"/>
  <c r="BQ587" i="3"/>
  <c r="BF587" i="3"/>
  <c r="BJ586" i="3" s="1"/>
  <c r="BK586" i="3" s="1"/>
  <c r="BD587" i="3" l="1"/>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F592" i="3"/>
  <c r="BM592" i="3" s="1"/>
  <c r="X591" i="3"/>
  <c r="BN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BD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M610" i="3" l="1"/>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T613" i="3" s="1"/>
  <c r="AN613" i="3"/>
  <c r="AU612" i="3"/>
  <c r="AV611" i="3"/>
  <c r="X613" i="3"/>
  <c r="AO614" i="3" l="1"/>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AV613" i="3" s="1"/>
  <c r="BM614" i="3"/>
  <c r="AG614" i="3"/>
  <c r="AH614" i="3"/>
  <c r="AN614" i="3"/>
  <c r="X614" i="3"/>
  <c r="BD611" i="3" l="1"/>
  <c r="BC612" i="3"/>
  <c r="BD612" i="3" s="1"/>
  <c r="BN615" i="3"/>
  <c r="BF612" i="3"/>
  <c r="BJ611" i="3" s="1"/>
  <c r="BK611" i="3" s="1"/>
  <c r="AY613" i="3"/>
  <c r="BC613" i="3" s="1"/>
  <c r="BD613" i="3" s="1"/>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G612" i="3" l="1"/>
  <c r="BH612" i="3" s="1"/>
  <c r="BI612" i="3" s="1"/>
  <c r="BM616" i="3"/>
  <c r="AY614" i="3"/>
  <c r="AT615" i="3"/>
  <c r="AG616" i="3"/>
  <c r="AX615" i="3"/>
  <c r="AO616" i="3"/>
  <c r="AU615" i="3"/>
  <c r="BG613" i="3"/>
  <c r="BH613" i="3" s="1"/>
  <c r="BI613" i="3" s="1"/>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AV615" i="3" l="1"/>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BM636" i="3" s="1"/>
  <c r="X635" i="3"/>
  <c r="BA633" i="3"/>
  <c r="AX634" i="3"/>
  <c r="AH635" i="3"/>
  <c r="AN635" i="3"/>
  <c r="BC633" i="3" l="1"/>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G646" i="3"/>
  <c r="H646" i="3" s="1"/>
  <c r="AW644" i="3"/>
  <c r="AU644" i="3"/>
  <c r="Y645" i="3"/>
  <c r="Z645" i="3" s="1"/>
  <c r="AH645" i="3"/>
  <c r="AN645" i="3"/>
  <c r="AT644" i="3"/>
  <c r="X645" i="3"/>
  <c r="BM646" i="3" l="1"/>
  <c r="BG642" i="3"/>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T647" i="3"/>
  <c r="BM647" i="3" l="1"/>
  <c r="BN647" i="3"/>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BM663" i="3" s="1"/>
  <c r="G663" i="3"/>
  <c r="H663" i="3" s="1"/>
  <c r="X662" i="3"/>
  <c r="AX661" i="3"/>
  <c r="Y662" i="3"/>
  <c r="Z662" i="3" s="1"/>
  <c r="AG662" i="3"/>
  <c r="AO662" i="3"/>
  <c r="AV661" i="3" l="1"/>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<sst xmlns="http://schemas.openxmlformats.org/spreadsheetml/2006/main" count="1379" uniqueCount="775">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</sst>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0.00_);_(* \(#,##0.00\);_(* &quot;-&quot;??_);_(@_)"/>
    <numFmt numFmtId="165" formatCode="0.00000"/>
    <numFmt numFmtId="166" formatCode="0.0000"/>
    <numFmt numFmtId="167" formatCode="0.000"/>
    <numFmt numFmtId="168" formatCode="0.0"/>
    <numFmt numFmtId="169" formatCode="0.000E+00"/>
    <numFmt numFmtId="170" formatCode="0.00000000"/>
    <numFmt numFmtId="171" formatCode="0.000000000"/>
    <numFmt numFmtId="172" formatCode="#0.0#"/>
    <numFmt numFmtId="173" formatCode="General&quot;nF&quot;"/>
    <numFmt numFmtId="174" formatCode="General&quot;k&quot;"/>
    <numFmt numFmtId="175" formatCode="General&quot;pF&quot;"/>
    <numFmt numFmtId="176" formatCode="General&quot;µF&quot;"/>
    <numFmt numFmtId="177" formatCode="General&quot;µH&quot;"/>
    <numFmt numFmtId="178" formatCode="&quot;MOSFET, N-CH, 100V, &quot;General&quot;mΩ&quot;"/>
    <numFmt numFmtId="179" formatCode="General&quot;mΩ&quot;"/>
    <numFmt numFmtId="180" formatCode="&quot;Capacitor, Ceramic, &quot;General&quot;pF, 50V, NP0, 5%&quot;"/>
    <numFmt numFmtId="181" formatCode="&quot;Capacitor, Ceramic, &quot;General&quot;pF, 16V, X7R, 10%&quot;"/>
    <numFmt numFmtId="182" formatCode="&quot;Capacitor, Ceramic, &quot;General&quot;µF, 25V, X7R, 20%&quot;"/>
    <numFmt numFmtId="183" formatCode="&quot;Capacitor, Ceramic, &quot;General&quot;nF, 16V, X7R, 10%&quot;"/>
    <numFmt numFmtId="184" formatCode="&quot;Capacitor, Ceramic, &quot;General&quot;µF, 50V, X7R, 20%&quot;"/>
    <numFmt numFmtId="185" formatCode="&quot;Resistor, Chip, &quot;General&quot;kΩ, 1/16W, 1%&quot;"/>
    <numFmt numFmtId="186" formatCode="&quot;Resistor, Chip, &quot;General&quot;Ω, 1/16W, 1%&quot;"/>
    <numFmt numFmtId="187" formatCode="&quot;Resistor, &quot;General&quot;mΩ, 1/4W, 1%&quot;"/>
    <numFmt numFmtId="188" formatCode="&quot;MOSFET, N-CH, 80V/100V, &quot;General&quot;mΩ&quot;"/>
  </numFmts>
  <fonts count="106"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64" fontId="1" fillId="0" borderId="0" applyFont="0" applyFill="0" applyBorder="0" applyAlignment="0" applyProtection="0"/>
    <xf numFmtId="164"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69"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69"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69"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72" fontId="21" fillId="0" borderId="0" xfId="0" applyNumberFormat="1" applyFont="1" applyAlignment="1">
      <alignment horizontal="center"/>
    </xf>
    <xf numFmtId="172" fontId="8" fillId="0" borderId="0" xfId="0" applyNumberFormat="1" applyFont="1" applyAlignment="1">
      <alignment horizontal="center"/>
    </xf>
    <xf numFmtId="172" fontId="8" fillId="0" borderId="0" xfId="0" applyNumberFormat="1" applyFont="1" applyAlignment="1" applyProtection="1">
      <alignment horizontal="center"/>
      <protection locked="0"/>
    </xf>
    <xf numFmtId="11" fontId="7" fillId="0" borderId="0" xfId="0" applyNumberFormat="1" applyFont="1"/>
    <xf numFmtId="172" fontId="0" fillId="0" borderId="0" xfId="0" applyNumberFormat="1"/>
    <xf numFmtId="0" fontId="0" fillId="12" borderId="0" xfId="0" applyFill="1"/>
    <xf numFmtId="168"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69"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69"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72" fontId="18" fillId="3" borderId="0" xfId="0" applyNumberFormat="1" applyFont="1" applyFill="1" applyAlignment="1">
      <alignment horizontal="center"/>
    </xf>
    <xf numFmtId="172"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68" fontId="0" fillId="13" borderId="32" xfId="0" applyNumberFormat="1" applyFill="1" applyBorder="1"/>
    <xf numFmtId="0" fontId="7" fillId="0" borderId="31" xfId="0" applyFont="1" applyBorder="1"/>
    <xf numFmtId="0" fontId="0" fillId="4" borderId="32" xfId="0" applyFill="1" applyBorder="1"/>
    <xf numFmtId="171"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67" fontId="18" fillId="10" borderId="0" xfId="0" applyNumberFormat="1" applyFont="1" applyFill="1"/>
    <xf numFmtId="170" fontId="18" fillId="10" borderId="0" xfId="0" applyNumberFormat="1" applyFont="1" applyFill="1"/>
    <xf numFmtId="166" fontId="18" fillId="10" borderId="0" xfId="0" applyNumberFormat="1" applyFont="1" applyFill="1"/>
    <xf numFmtId="2" fontId="7" fillId="4" borderId="0" xfId="0" applyNumberFormat="1" applyFont="1" applyFill="1"/>
    <xf numFmtId="168" fontId="0" fillId="13" borderId="0" xfId="0" applyNumberFormat="1" applyFill="1"/>
    <xf numFmtId="0" fontId="11" fillId="0" borderId="0" xfId="1" applyAlignment="1" applyProtection="1"/>
    <xf numFmtId="2" fontId="31" fillId="13" borderId="0" xfId="0" applyNumberFormat="1" applyFont="1" applyFill="1"/>
    <xf numFmtId="167"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68"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68" fontId="7" fillId="10" borderId="0" xfId="0" applyNumberFormat="1" applyFont="1" applyFill="1"/>
    <xf numFmtId="0" fontId="7" fillId="10" borderId="0" xfId="0" applyFont="1" applyFill="1"/>
    <xf numFmtId="168" fontId="3" fillId="19" borderId="0" xfId="0" applyNumberFormat="1" applyFont="1" applyFill="1" applyAlignment="1">
      <alignment horizontal="right" vertical="center"/>
    </xf>
    <xf numFmtId="168"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68"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68"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68"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68"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68" fontId="3" fillId="10" borderId="44" xfId="0" applyNumberFormat="1" applyFont="1" applyFill="1" applyBorder="1" applyAlignment="1">
      <alignment horizontal="right"/>
    </xf>
    <xf numFmtId="168"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68"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68" fontId="3" fillId="19" borderId="42" xfId="0" applyNumberFormat="1" applyFont="1" applyFill="1" applyBorder="1" applyAlignment="1">
      <alignment horizontal="right" vertical="center"/>
    </xf>
    <xf numFmtId="168"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72" fontId="18" fillId="21" borderId="0" xfId="0" applyNumberFormat="1" applyFont="1" applyFill="1" applyAlignment="1">
      <alignment horizontal="center"/>
    </xf>
    <xf numFmtId="0" fontId="18" fillId="21" borderId="0" xfId="0" applyFont="1" applyFill="1"/>
    <xf numFmtId="172"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72" fontId="71" fillId="21" borderId="0" xfId="0" applyNumberFormat="1" applyFont="1" applyFill="1" applyAlignment="1">
      <alignment horizontal="center"/>
    </xf>
    <xf numFmtId="0" fontId="71" fillId="21" borderId="0" xfId="0" applyFont="1" applyFill="1"/>
    <xf numFmtId="172"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68" fontId="69" fillId="10" borderId="46" xfId="0" applyNumberFormat="1" applyFont="1" applyFill="1" applyBorder="1" applyAlignment="1">
      <alignment horizontal="center" vertical="center"/>
    </xf>
    <xf numFmtId="168"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74"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74"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76"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75"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76" fontId="2" fillId="19" borderId="11" xfId="2" applyNumberFormat="1" applyFill="1" applyBorder="1" applyAlignment="1">
      <alignment horizontal="center" vertical="center"/>
    </xf>
    <xf numFmtId="176"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77"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68"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72" fontId="18" fillId="25" borderId="46" xfId="0" applyNumberFormat="1" applyFont="1" applyFill="1" applyBorder="1" applyAlignment="1">
      <alignment horizontal="center"/>
    </xf>
    <xf numFmtId="0" fontId="18" fillId="25" borderId="0" xfId="0" applyFont="1" applyFill="1"/>
    <xf numFmtId="172" fontId="18" fillId="25" borderId="0" xfId="0" applyNumberFormat="1" applyFont="1" applyFill="1" applyAlignment="1">
      <alignment horizontal="center"/>
    </xf>
    <xf numFmtId="172" fontId="71" fillId="25" borderId="0" xfId="0" applyNumberFormat="1" applyFont="1" applyFill="1" applyAlignment="1">
      <alignment horizontal="center"/>
    </xf>
    <xf numFmtId="172"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67"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67" fontId="7" fillId="13" borderId="2" xfId="0" applyNumberFormat="1" applyFont="1" applyFill="1" applyBorder="1"/>
    <xf numFmtId="166" fontId="7" fillId="13" borderId="0" xfId="0" applyNumberFormat="1" applyFont="1" applyFill="1"/>
    <xf numFmtId="167" fontId="7" fillId="13" borderId="0" xfId="0" applyNumberFormat="1" applyFont="1" applyFill="1"/>
    <xf numFmtId="0" fontId="7" fillId="0" borderId="56" xfId="0" applyFont="1" applyBorder="1"/>
    <xf numFmtId="0" fontId="3" fillId="13" borderId="0" xfId="0" applyFont="1" applyFill="1" applyAlignment="1">
      <alignment horizontal="right"/>
    </xf>
    <xf numFmtId="168" fontId="0" fillId="4" borderId="0" xfId="0" applyNumberFormat="1" applyFill="1"/>
    <xf numFmtId="167"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68"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66" fontId="0" fillId="0" borderId="0" xfId="0" applyNumberFormat="1"/>
    <xf numFmtId="167" fontId="0" fillId="0" borderId="0" xfId="0" applyNumberFormat="1"/>
    <xf numFmtId="166" fontId="0" fillId="0" borderId="0" xfId="0" applyNumberFormat="1" applyAlignment="1">
      <alignment horizontal="left" indent="1"/>
    </xf>
    <xf numFmtId="167" fontId="16" fillId="7" borderId="0" xfId="0" applyNumberFormat="1" applyFont="1" applyFill="1"/>
    <xf numFmtId="167" fontId="8" fillId="0" borderId="0" xfId="0" applyNumberFormat="1" applyFont="1"/>
    <xf numFmtId="168" fontId="16" fillId="0" borderId="0" xfId="0" applyNumberFormat="1" applyFont="1"/>
    <xf numFmtId="165" fontId="0" fillId="0" borderId="0" xfId="0" applyNumberFormat="1"/>
    <xf numFmtId="165"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78" fontId="2" fillId="19" borderId="8" xfId="2" applyNumberFormat="1" applyFill="1" applyBorder="1" applyAlignment="1">
      <alignment horizontal="left" vertical="center"/>
    </xf>
    <xf numFmtId="178" fontId="2" fillId="19" borderId="9" xfId="2" applyNumberFormat="1" applyFill="1" applyBorder="1" applyAlignment="1">
      <alignment horizontal="left" vertical="center"/>
    </xf>
    <xf numFmtId="178"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68"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68"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68" fontId="88" fillId="0" borderId="0" xfId="2" applyNumberFormat="1" applyFont="1" applyAlignment="1">
      <alignment horizontal="right" vertical="center"/>
    </xf>
    <xf numFmtId="0" fontId="88" fillId="10" borderId="0" xfId="2" applyFont="1" applyFill="1" applyAlignment="1">
      <alignment horizontal="left"/>
    </xf>
    <xf numFmtId="166" fontId="88" fillId="10" borderId="0" xfId="2" applyNumberFormat="1" applyFont="1" applyFill="1" applyAlignment="1">
      <alignment vertical="center"/>
    </xf>
    <xf numFmtId="165" fontId="0" fillId="4" borderId="32" xfId="0" applyNumberFormat="1" applyFill="1" applyBorder="1"/>
    <xf numFmtId="165" fontId="0" fillId="13" borderId="2" xfId="0" applyNumberFormat="1" applyFill="1" applyBorder="1"/>
    <xf numFmtId="173"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68" fontId="2" fillId="19" borderId="11" xfId="2" applyNumberFormat="1" applyFill="1" applyBorder="1" applyAlignment="1">
      <alignment horizontal="center" vertical="center"/>
    </xf>
    <xf numFmtId="167"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68" fontId="2" fillId="10" borderId="42" xfId="0" applyNumberFormat="1" applyFont="1" applyFill="1" applyBorder="1"/>
    <xf numFmtId="0" fontId="3" fillId="0" borderId="56" xfId="0" applyFont="1" applyBorder="1"/>
    <xf numFmtId="167"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79" fontId="2" fillId="19" borderId="11" xfId="2" applyNumberFormat="1" applyFill="1" applyBorder="1" applyAlignment="1">
      <alignment horizontal="center" vertical="center"/>
    </xf>
    <xf numFmtId="166" fontId="0" fillId="0" borderId="11" xfId="0" applyNumberFormat="1" applyBorder="1"/>
    <xf numFmtId="165"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67"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68"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85" fontId="2" fillId="19" borderId="8" xfId="2" applyNumberFormat="1" applyFill="1" applyBorder="1" applyAlignment="1">
      <alignment horizontal="left" vertical="center"/>
    </xf>
    <xf numFmtId="185" fontId="2" fillId="19" borderId="9" xfId="2" applyNumberFormat="1" applyFill="1" applyBorder="1" applyAlignment="1">
      <alignment horizontal="left" vertical="center"/>
    </xf>
    <xf numFmtId="185" fontId="2" fillId="19" borderId="15" xfId="2" applyNumberFormat="1" applyFill="1" applyBorder="1" applyAlignment="1">
      <alignment horizontal="left" vertical="center"/>
    </xf>
    <xf numFmtId="185" fontId="2" fillId="24" borderId="8" xfId="2" applyNumberFormat="1" applyFill="1" applyBorder="1" applyAlignment="1">
      <alignment horizontal="left" vertical="center"/>
    </xf>
    <xf numFmtId="185" fontId="2" fillId="24" borderId="9" xfId="2" applyNumberFormat="1" applyFill="1" applyBorder="1" applyAlignment="1">
      <alignment horizontal="left" vertical="center"/>
    </xf>
    <xf numFmtId="185" fontId="2" fillId="24" borderId="15" xfId="2" applyNumberFormat="1" applyFill="1" applyBorder="1" applyAlignment="1">
      <alignment horizontal="left" vertical="center"/>
    </xf>
    <xf numFmtId="188" fontId="2" fillId="19" borderId="8" xfId="2" applyNumberFormat="1" applyFill="1" applyBorder="1" applyAlignment="1">
      <alignment horizontal="left" vertical="center"/>
    </xf>
    <xf numFmtId="188" fontId="2" fillId="19" borderId="9" xfId="2" applyNumberFormat="1" applyFill="1" applyBorder="1" applyAlignment="1">
      <alignment horizontal="left" vertical="center"/>
    </xf>
    <xf numFmtId="188" fontId="2" fillId="19" borderId="15" xfId="2" applyNumberFormat="1" applyFill="1" applyBorder="1" applyAlignment="1">
      <alignment horizontal="left" vertical="center"/>
    </xf>
    <xf numFmtId="186" fontId="2" fillId="19" borderId="8" xfId="2" applyNumberFormat="1" applyFill="1" applyBorder="1" applyAlignment="1">
      <alignment horizontal="left" vertical="center"/>
    </xf>
    <xf numFmtId="186" fontId="2" fillId="19" borderId="9" xfId="2" applyNumberFormat="1" applyFill="1" applyBorder="1" applyAlignment="1">
      <alignment horizontal="left" vertical="center"/>
    </xf>
    <xf numFmtId="186" fontId="2" fillId="19" borderId="15" xfId="2" applyNumberFormat="1" applyFill="1" applyBorder="1" applyAlignment="1">
      <alignment horizontal="left" vertical="center"/>
    </xf>
    <xf numFmtId="187" fontId="2" fillId="19" borderId="8" xfId="2" applyNumberFormat="1" applyFill="1" applyBorder="1" applyAlignment="1">
      <alignment horizontal="left" vertical="center"/>
    </xf>
    <xf numFmtId="187" fontId="2" fillId="19" borderId="9" xfId="2" applyNumberFormat="1" applyFill="1" applyBorder="1" applyAlignment="1">
      <alignment horizontal="left" vertical="center"/>
    </xf>
    <xf numFmtId="187" fontId="2" fillId="19" borderId="15" xfId="2" applyNumberFormat="1" applyFill="1" applyBorder="1" applyAlignment="1">
      <alignment horizontal="left" vertical="center"/>
    </xf>
    <xf numFmtId="182" fontId="2" fillId="10" borderId="8" xfId="2" applyNumberFormat="1" applyFill="1" applyBorder="1" applyAlignment="1">
      <alignment horizontal="left" vertical="center"/>
    </xf>
    <xf numFmtId="182" fontId="2" fillId="10" borderId="9" xfId="2" applyNumberFormat="1" applyFill="1" applyBorder="1" applyAlignment="1">
      <alignment horizontal="left" vertical="center"/>
    </xf>
    <xf numFmtId="181" fontId="2" fillId="23" borderId="8" xfId="2" applyNumberFormat="1" applyFill="1" applyBorder="1" applyAlignment="1">
      <alignment horizontal="left" vertical="center"/>
    </xf>
    <xf numFmtId="181" fontId="2" fillId="23" borderId="9" xfId="2" applyNumberFormat="1" applyFill="1" applyBorder="1" applyAlignment="1">
      <alignment horizontal="left" vertical="center"/>
    </xf>
    <xf numFmtId="180" fontId="2" fillId="23" borderId="8" xfId="2" applyNumberFormat="1" applyFill="1" applyBorder="1" applyAlignment="1">
      <alignment horizontal="left" vertical="center"/>
    </xf>
    <xf numFmtId="180" fontId="2" fillId="23"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82" fontId="2" fillId="19" borderId="8" xfId="2" applyNumberFormat="1" applyFill="1" applyBorder="1" applyAlignment="1">
      <alignment horizontal="left" vertical="center"/>
    </xf>
    <xf numFmtId="182" fontId="2" fillId="19" borderId="9"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186" fontId="2" fillId="24" borderId="8" xfId="2" applyNumberFormat="1" applyFill="1" applyBorder="1" applyAlignment="1">
      <alignment horizontal="left" vertical="center"/>
    </xf>
    <xf numFmtId="186" fontId="2" fillId="24" borderId="9" xfId="2" applyNumberFormat="1" applyFill="1" applyBorder="1" applyAlignment="1">
      <alignment horizontal="left" vertical="center"/>
    </xf>
    <xf numFmtId="186" fontId="2" fillId="24" borderId="15" xfId="2" applyNumberFormat="1" applyFill="1" applyBorder="1" applyAlignment="1">
      <alignment horizontal="left" vertical="center"/>
    </xf>
    <xf numFmtId="0" fontId="88" fillId="10" borderId="0" xfId="2" applyFont="1" applyFill="1" applyAlignment="1">
      <alignment horizontal="right" wrapText="1"/>
    </xf>
    <xf numFmtId="0" fontId="2" fillId="23" borderId="15" xfId="2" applyFill="1" applyBorder="1" applyAlignment="1">
      <alignment horizontal="left" vertical="center"/>
    </xf>
    <xf numFmtId="183" fontId="2" fillId="19" borderId="8" xfId="2" applyNumberFormat="1" applyFill="1" applyBorder="1" applyAlignment="1">
      <alignment horizontal="left" vertical="center"/>
    </xf>
    <xf numFmtId="183" fontId="2" fillId="19" borderId="9" xfId="2" applyNumberFormat="1" applyFill="1" applyBorder="1" applyAlignment="1">
      <alignment horizontal="left" vertical="center"/>
    </xf>
    <xf numFmtId="184" fontId="2" fillId="19" borderId="8" xfId="2" applyNumberFormat="1" applyFill="1" applyBorder="1" applyAlignment="1">
      <alignment horizontal="left" vertical="center"/>
    </xf>
    <xf numFmtId="184" fontId="2" fillId="19"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xfId="5" builtinId="3"/>
    <cellStyle name="Comma 2" xfId="4" xr:uid="{00000000-0005-0000-0000-000000000000}"/>
    <cellStyle name="Hyperlink" xfId="1" builtinId="8"/>
    <cellStyle name="Normal" xfId="0" builtinId="0"/>
    <cellStyle name="Normal 2" xfId="2" xr:uid="{00000000-0005-0000-0000-000003000000}"/>
    <cellStyle name="Normal 3" xfId="3" xr:uid="{00000000-0005-0000-0000-00000400000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80.415036914587603</c:v>
                </c:pt>
                <c:pt idx="1">
                  <c:v>75.09541662311436</c:v>
                </c:pt>
                <c:pt idx="2">
                  <c:v>71.716801972066961</c:v>
                </c:pt>
                <c:pt idx="3">
                  <c:v>69.269288709328137</c:v>
                </c:pt>
                <c:pt idx="4">
                  <c:v>67.355022547583403</c:v>
                </c:pt>
                <c:pt idx="5">
                  <c:v>65.784455381102134</c:v>
                </c:pt>
                <c:pt idx="6">
                  <c:v>64.453413079922711</c:v>
                </c:pt>
                <c:pt idx="7">
                  <c:v>63.298706104056819</c:v>
                </c:pt>
                <c:pt idx="8">
                  <c:v>62.279178742285964</c:v>
                </c:pt>
                <c:pt idx="9">
                  <c:v>61.366551872836645</c:v>
                </c:pt>
                <c:pt idx="10">
                  <c:v>55.354068664433854</c:v>
                </c:pt>
                <c:pt idx="11">
                  <c:v>51.833822726063012</c:v>
                </c:pt>
                <c:pt idx="12">
                  <c:v>49.335688857482126</c:v>
                </c:pt>
                <c:pt idx="13">
                  <c:v>47.397881802316952</c:v>
                </c:pt>
                <c:pt idx="14">
                  <c:v>45.814572919748358</c:v>
                </c:pt>
                <c:pt idx="15">
                  <c:v>44.475934423888248</c:v>
                </c:pt>
                <c:pt idx="16">
                  <c:v>43.316398445257953</c:v>
                </c:pt>
                <c:pt idx="17">
                  <c:v>42.293668280512463</c:v>
                </c:pt>
                <c:pt idx="18">
                  <c:v>41.378862216920531</c:v>
                </c:pt>
                <c:pt idx="19">
                  <c:v>35.363371061555554</c:v>
                </c:pt>
                <c:pt idx="20">
                  <c:v>31.849937967179052</c:v>
                </c:pt>
                <c:pt idx="21">
                  <c:v>29.362890525555901</c:v>
                </c:pt>
                <c:pt idx="22">
                  <c:v>27.43975377063089</c:v>
                </c:pt>
                <c:pt idx="23">
                  <c:v>25.874522717885419</c:v>
                </c:pt>
                <c:pt idx="24">
                  <c:v>24.55730254941674</c:v>
                </c:pt>
                <c:pt idx="25">
                  <c:v>23.422490435171142</c:v>
                </c:pt>
                <c:pt idx="26">
                  <c:v>22.427765754158138</c:v>
                </c:pt>
                <c:pt idx="27">
                  <c:v>21.544226798955414</c:v>
                </c:pt>
                <c:pt idx="28">
                  <c:v>18.229143440249445</c:v>
                </c:pt>
                <c:pt idx="29">
                  <c:v>16.016345639420091</c:v>
                </c:pt>
                <c:pt idx="30">
                  <c:v>14.44018116390383</c:v>
                </c:pt>
                <c:pt idx="31">
                  <c:v>13.290927364272019</c:v>
                </c:pt>
                <c:pt idx="32">
                  <c:v>12.454626817528071</c:v>
                </c:pt>
                <c:pt idx="33">
                  <c:v>11.8614482766284</c:v>
                </c:pt>
                <c:pt idx="34">
                  <c:v>11.464813859445375</c:v>
                </c:pt>
                <c:pt idx="35">
                  <c:v>11.231609167351763</c:v>
                </c:pt>
                <c:pt idx="36">
                  <c:v>11.137035182018536</c:v>
                </c:pt>
                <c:pt idx="37">
                  <c:v>11.16159632764872</c:v>
                </c:pt>
                <c:pt idx="38">
                  <c:v>11.289109395389547</c:v>
                </c:pt>
                <c:pt idx="39">
                  <c:v>11.505169896351479</c:v>
                </c:pt>
                <c:pt idx="40">
                  <c:v>11.795749789461334</c:v>
                </c:pt>
                <c:pt idx="41">
                  <c:v>12.145716442901712</c:v>
                </c:pt>
                <c:pt idx="42">
                  <c:v>12.537154464750703</c:v>
                </c:pt>
                <c:pt idx="43">
                  <c:v>12.947523669735988</c:v>
                </c:pt>
                <c:pt idx="44">
                  <c:v>13.347995129283143</c:v>
                </c:pt>
                <c:pt idx="45">
                  <c:v>13.702836152488114</c:v>
                </c:pt>
                <c:pt idx="46">
                  <c:v>13.971295279004213</c:v>
                </c:pt>
                <c:pt idx="47">
                  <c:v>14.113361569750998</c:v>
                </c:pt>
                <c:pt idx="48">
                  <c:v>14.09897646364378</c:v>
                </c:pt>
                <c:pt idx="49">
                  <c:v>13.916966994042859</c:v>
                </c:pt>
                <c:pt idx="50">
                  <c:v>13.578280166104618</c:v>
                </c:pt>
                <c:pt idx="51">
                  <c:v>13.111218213048305</c:v>
                </c:pt>
                <c:pt idx="52">
                  <c:v>12.551914102845391</c:v>
                </c:pt>
                <c:pt idx="53">
                  <c:v>11.935466400478793</c:v>
                </c:pt>
                <c:pt idx="54">
                  <c:v>11.290824777821616</c:v>
                </c:pt>
                <c:pt idx="55">
                  <c:v>10.63934166793433</c:v>
                </c:pt>
                <c:pt idx="56">
                  <c:v>9.9954894269801944</c:v>
                </c:pt>
                <c:pt idx="57">
                  <c:v>9.3683688896559563</c:v>
                </c:pt>
                <c:pt idx="58">
                  <c:v>8.7632336424161146</c:v>
                </c:pt>
                <c:pt idx="59">
                  <c:v>8.1827318368496922</c:v>
                </c:pt>
                <c:pt idx="60">
                  <c:v>7.6278187445477421</c:v>
                </c:pt>
                <c:pt idx="61">
                  <c:v>7.0983898041581162</c:v>
                </c:pt>
                <c:pt idx="62">
                  <c:v>6.5937045694510887</c:v>
                </c:pt>
                <c:pt idx="63">
                  <c:v>6.1126639329449484</c:v>
                </c:pt>
                <c:pt idx="64">
                  <c:v>5.6539880000515588</c:v>
                </c:pt>
                <c:pt idx="65">
                  <c:v>5.2163280901421203</c:v>
                </c:pt>
                <c:pt idx="66">
                  <c:v>4.7983356349732773</c:v>
                </c:pt>
                <c:pt idx="67">
                  <c:v>4.3987031406637289</c:v>
                </c:pt>
                <c:pt idx="68">
                  <c:v>4.0161871970580592</c:v>
                </c:pt>
                <c:pt idx="69">
                  <c:v>3.6496200636610525</c:v>
                </c:pt>
                <c:pt idx="70">
                  <c:v>3.2979140850644875</c:v>
                </c:pt>
                <c:pt idx="71">
                  <c:v>2.9600616975115535</c:v>
                </c:pt>
                <c:pt idx="72">
                  <c:v>2.6351328135372345</c:v>
                </c:pt>
                <c:pt idx="73">
                  <c:v>2.3222707349270642</c:v>
                </c:pt>
                <c:pt idx="74">
                  <c:v>2.0206873283069409</c:v>
                </c:pt>
                <c:pt idx="75">
                  <c:v>1.7296579259936216</c:v>
                </c:pt>
                <c:pt idx="76">
                  <c:v>1.4485162374475857</c:v>
                </c:pt>
                <c:pt idx="77">
                  <c:v>1.176649441281213</c:v>
                </c:pt>
                <c:pt idx="78">
                  <c:v>0.91349355305206381</c:v>
                </c:pt>
                <c:pt idx="79">
                  <c:v>0.65852911610263065</c:v>
                </c:pt>
                <c:pt idx="80">
                  <c:v>0.41127723234798413</c:v>
                </c:pt>
                <c:pt idx="81">
                  <c:v>0.17129593112922334</c:v>
                </c:pt>
                <c:pt idx="82">
                  <c:v>-6.1823136943558177E-2</c:v>
                </c:pt>
                <c:pt idx="83">
                  <c:v>-0.28845770048517094</c:v>
                </c:pt>
                <c:pt idx="84">
                  <c:v>-0.50895758455033147</c:v>
                </c:pt>
                <c:pt idx="85">
                  <c:v>-0.72364716798472883</c:v>
                </c:pt>
                <c:pt idx="86">
                  <c:v>-0.93282760410014376</c:v>
                </c:pt>
                <c:pt idx="87">
                  <c:v>-1.1367788268866965</c:v>
                </c:pt>
                <c:pt idx="88">
                  <c:v>-1.3357613635838139</c:v>
                </c:pt>
                <c:pt idx="89">
                  <c:v>-1.5300179728414034</c:v>
                </c:pt>
                <c:pt idx="90">
                  <c:v>-1.7197751260500236</c:v>
                </c:pt>
                <c:pt idx="91">
                  <c:v>-1.9052443477898078</c:v>
                </c:pt>
                <c:pt idx="92">
                  <c:v>-2.0866234297928394</c:v>
                </c:pt>
                <c:pt idx="93">
                  <c:v>-2.2640975313610108</c:v>
                </c:pt>
                <c:pt idx="94">
                  <c:v>-2.4378401778434662</c:v>
                </c:pt>
                <c:pt idx="95">
                  <c:v>-2.6080141675592139</c:v>
                </c:pt>
                <c:pt idx="96">
                  <c:v>-2.7747723964479807</c:v>
                </c:pt>
                <c:pt idx="97">
                  <c:v>-2.9382586087414078</c:v>
                </c:pt>
                <c:pt idx="98">
                  <c:v>-3.0986080810584218</c:v>
                </c:pt>
                <c:pt idx="99">
                  <c:v>-3.2559482465355187</c:v>
                </c:pt>
                <c:pt idx="100">
                  <c:v>-3.4103992648958199</c:v>
                </c:pt>
                <c:pt idx="101">
                  <c:v>-3.5620745437312089</c:v>
                </c:pt>
                <c:pt idx="102">
                  <c:v>-3.7110812157122992</c:v>
                </c:pt>
                <c:pt idx="103">
                  <c:v>-3.8575205759433717</c:v>
                </c:pt>
                <c:pt idx="104">
                  <c:v>-4.0014884832374618</c:v>
                </c:pt>
                <c:pt idx="105">
                  <c:v>-4.1430757286936322</c:v>
                </c:pt>
                <c:pt idx="106">
                  <c:v>-4.2823683746091445</c:v>
                </c:pt>
                <c:pt idx="107">
                  <c:v>-4.4194480664488038</c:v>
                </c:pt>
                <c:pt idx="108">
                  <c:v>-4.554392320316861</c:v>
                </c:pt>
                <c:pt idx="109">
                  <c:v>-4.6872747881310843</c:v>
                </c:pt>
                <c:pt idx="110">
                  <c:v>-4.8181655024789407</c:v>
                </c:pt>
                <c:pt idx="111">
                  <c:v>-4.9471311029403759</c:v>
                </c:pt>
                <c:pt idx="112">
                  <c:v>-5.0742350454869047</c:v>
                </c:pt>
                <c:pt idx="113">
                  <c:v>-5.1995377964108478</c:v>
                </c:pt>
                <c:pt idx="114">
                  <c:v>-5.3230970120988701</c:v>
                </c:pt>
                <c:pt idx="115">
                  <c:v>-5.4449677058393124</c:v>
                </c:pt>
                <c:pt idx="116">
                  <c:v>-5.5652024027406473</c:v>
                </c:pt>
                <c:pt idx="117">
                  <c:v>-5.6838512837383037</c:v>
                </c:pt>
                <c:pt idx="118">
                  <c:v>-5.8009623195767972</c:v>
                </c:pt>
                <c:pt idx="119">
                  <c:v>-5.9165813955732762</c:v>
                </c:pt>
                <c:pt idx="120">
                  <c:v>-6.0307524278956768</c:v>
                </c:pt>
                <c:pt idx="121">
                  <c:v>-6.1435174720231789</c:v>
                </c:pt>
                <c:pt idx="122">
                  <c:v>-6.2549168239973509</c:v>
                </c:pt>
                <c:pt idx="123">
                  <c:v>-6.3649891150192488</c:v>
                </c:pt>
                <c:pt idx="124">
                  <c:v>-6.473771399899432</c:v>
                </c:pt>
                <c:pt idx="125">
                  <c:v>-6.5812992398242676</c:v>
                </c:pt>
                <c:pt idx="126">
                  <c:v>-6.6876067798624987</c:v>
                </c:pt>
                <c:pt idx="127">
                  <c:v>-6.7927268216004197</c:v>
                </c:pt>
                <c:pt idx="128">
                  <c:v>-6.896690891261442</c:v>
                </c:pt>
                <c:pt idx="129">
                  <c:v>-6.9995293036366313</c:v>
                </c:pt>
                <c:pt idx="130">
                  <c:v>-7.1012712221259466</c:v>
                </c:pt>
                <c:pt idx="131">
                  <c:v>-7.2019447151657188</c:v>
                </c:pt>
                <c:pt idx="132">
                  <c:v>-7.3015768092957822</c:v>
                </c:pt>
                <c:pt idx="133">
                  <c:v>-7.4001935390994937</c:v>
                </c:pt>
                <c:pt idx="134">
                  <c:v>-7.4978199942316106</c:v>
                </c:pt>
                <c:pt idx="135">
                  <c:v>-7.5944803637322433</c:v>
                </c:pt>
                <c:pt idx="136">
                  <c:v>-7.6901979778096052</c:v>
                </c:pt>
                <c:pt idx="137">
                  <c:v>-7.7849953472606304</c:v>
                </c:pt>
                <c:pt idx="138">
                  <c:v>-7.8788942006854246</c:v>
                </c:pt>
                <c:pt idx="139">
                  <c:v>-7.9719155196399907</c:v>
                </c:pt>
                <c:pt idx="140">
                  <c:v>-8.0640795718608551</c:v>
                </c:pt>
                <c:pt idx="141">
                  <c:v>-8.155405942685368</c:v>
                </c:pt>
                <c:pt idx="142">
                  <c:v>-8.2459135647824393</c:v>
                </c:pt>
                <c:pt idx="143">
                  <c:v>-8.3356207463002203</c:v>
                </c:pt>
                <c:pt idx="144">
                  <c:v>-8.4245451975293992</c:v>
                </c:pt>
                <c:pt idx="145">
                  <c:v>-8.5127040561740959</c:v>
                </c:pt>
                <c:pt idx="146">
                  <c:v>-8.6001139113154732</c:v>
                </c:pt>
                <c:pt idx="147">
                  <c:v>-8.6867908261476323</c:v>
                </c:pt>
                <c:pt idx="148">
                  <c:v>-8.7727503595595522</c:v>
                </c:pt>
                <c:pt idx="149">
                  <c:v>-8.8580075866318602</c:v>
                </c:pt>
                <c:pt idx="150">
                  <c:v>-8.9425771181126521</c:v>
                </c:pt>
                <c:pt idx="151">
                  <c:v>-9.026473118932131</c:v>
                </c:pt>
                <c:pt idx="152">
                  <c:v>-9.1097093258117621</c:v>
                </c:pt>
                <c:pt idx="153">
                  <c:v>-9.1922990640202435</c:v>
                </c:pt>
                <c:pt idx="154">
                  <c:v>-9.2742552633248216</c:v>
                </c:pt>
                <c:pt idx="155">
                  <c:v>-9.3555904731834936</c:v>
                </c:pt>
                <c:pt idx="156">
                  <c:v>-9.436316877220678</c:v>
                </c:pt>
                <c:pt idx="157">
                  <c:v>-9.5164463070262038</c:v>
                </c:pt>
                <c:pt idx="158">
                  <c:v>-9.5959902553148506</c:v>
                </c:pt>
                <c:pt idx="159">
                  <c:v>-9.6749598884815082</c:v>
                </c:pt>
                <c:pt idx="160">
                  <c:v>-9.7533660585845379</c:v>
                </c:pt>
                <c:pt idx="161">
                  <c:v>-9.8312193147883136</c:v>
                </c:pt>
                <c:pt idx="162">
                  <c:v>-9.9085299142934868</c:v>
                </c:pt>
                <c:pt idx="163">
                  <c:v>-9.9853078327823628</c:v>
                </c:pt>
                <c:pt idx="164">
                  <c:v>-10.061562774404528</c:v>
                </c:pt>
                <c:pt idx="165">
                  <c:v>-10.137304181326892</c:v>
                </c:pt>
                <c:pt idx="166">
                  <c:v>-10.212541242870426</c:v>
                </c:pt>
                <c:pt idx="167">
                  <c:v>-10.287282904254887</c:v>
                </c:pt>
                <c:pt idx="168">
                  <c:v>-10.361537874971351</c:v>
                </c:pt>
                <c:pt idx="169">
                  <c:v>-10.43531463680138</c:v>
                </c:pt>
                <c:pt idx="170">
                  <c:v>-10.508621451500364</c:v>
                </c:pt>
                <c:pt idx="171">
                  <c:v>-10.581466368161866</c:v>
                </c:pt>
                <c:pt idx="172">
                  <c:v>-10.653857230278472</c:v>
                </c:pt>
                <c:pt idx="173">
                  <c:v>-10.725801682514163</c:v>
                </c:pt>
                <c:pt idx="174">
                  <c:v>-10.797307177202009</c:v>
                </c:pt>
                <c:pt idx="175">
                  <c:v>-10.868380980580527</c:v>
                </c:pt>
                <c:pt idx="176">
                  <c:v>-10.939030178781062</c:v>
                </c:pt>
                <c:pt idx="177">
                  <c:v>-11.009261683578092</c:v>
                </c:pt>
                <c:pt idx="178">
                  <c:v>-11.079082237913557</c:v>
                </c:pt>
                <c:pt idx="179">
                  <c:v>-11.148498421205664</c:v>
                </c:pt>
                <c:pt idx="180">
                  <c:v>-11.21751665445232</c:v>
                </c:pt>
                <c:pt idx="181">
                  <c:v>-11.286143205138522</c:v>
                </c:pt>
                <c:pt idx="182">
                  <c:v>-11.354384191956656</c:v>
                </c:pt>
                <c:pt idx="183">
                  <c:v>-11.422245589348201</c:v>
                </c:pt>
                <c:pt idx="184">
                  <c:v>-11.489733231874894</c:v>
                </c:pt>
                <c:pt idx="185">
                  <c:v>-11.556852818426922</c:v>
                </c:pt>
                <c:pt idx="186">
                  <c:v>-11.623609916275374</c:v>
                </c:pt>
                <c:pt idx="187">
                  <c:v>-11.690009964975875</c:v>
                </c:pt>
                <c:pt idx="188">
                  <c:v>-11.756058280129803</c:v>
                </c:pt>
                <c:pt idx="189">
                  <c:v>-11.821760057009332</c:v>
                </c:pt>
                <c:pt idx="190">
                  <c:v>-11.887120374052159</c:v>
                </c:pt>
                <c:pt idx="191">
                  <c:v>-11.952144196231506</c:v>
                </c:pt>
                <c:pt idx="192">
                  <c:v>-12.016836378306632</c:v>
                </c:pt>
                <c:pt idx="193">
                  <c:v>-12.081201667959011</c:v>
                </c:pt>
                <c:pt idx="194">
                  <c:v>-12.145244708818852</c:v>
                </c:pt>
                <c:pt idx="195">
                  <c:v>-12.208970043386593</c:v>
                </c:pt>
                <c:pt idx="196">
                  <c:v>-12.272382115853668</c:v>
                </c:pt>
                <c:pt idx="197">
                  <c:v>-12.335485274826803</c:v>
                </c:pt>
                <c:pt idx="198">
                  <c:v>-12.398283775959541</c:v>
                </c:pt>
                <c:pt idx="199">
                  <c:v>-12.46078178449503</c:v>
                </c:pt>
                <c:pt idx="200">
                  <c:v>-12.522983377723422</c:v>
                </c:pt>
                <c:pt idx="201">
                  <c:v>-12.584892547357427</c:v>
                </c:pt>
                <c:pt idx="202">
                  <c:v>-12.646513201829229</c:v>
                </c:pt>
                <c:pt idx="203">
                  <c:v>-12.707849168511881</c:v>
                </c:pt>
                <c:pt idx="204">
                  <c:v>-12.768904195868117</c:v>
                </c:pt>
                <c:pt idx="205">
                  <c:v>-12.829681955529406</c:v>
                </c:pt>
                <c:pt idx="206">
                  <c:v>-12.890186044307999</c:v>
                </c:pt>
                <c:pt idx="207">
                  <c:v>-12.950419986144501</c:v>
                </c:pt>
                <c:pt idx="208">
                  <c:v>-13.010387233993415</c:v>
                </c:pt>
                <c:pt idx="209">
                  <c:v>-13.07009117164905</c:v>
                </c:pt>
                <c:pt idx="210">
                  <c:v>-13.129535115514075</c:v>
                </c:pt>
                <c:pt idx="211">
                  <c:v>-13.188722316312729</c:v>
                </c:pt>
                <c:pt idx="212">
                  <c:v>-13.247655960750947</c:v>
                </c:pt>
                <c:pt idx="213">
                  <c:v>-13.306339173125195</c:v>
                </c:pt>
                <c:pt idx="214">
                  <c:v>-13.364775016882009</c:v>
                </c:pt>
                <c:pt idx="215">
                  <c:v>-13.42296649612998</c:v>
                </c:pt>
                <c:pt idx="216">
                  <c:v>-13.480916557105934</c:v>
                </c:pt>
                <c:pt idx="217">
                  <c:v>-13.538628089596996</c:v>
                </c:pt>
                <c:pt idx="218">
                  <c:v>-13.596103928320048</c:v>
                </c:pt>
                <c:pt idx="219">
                  <c:v>-13.653346854260169</c:v>
                </c:pt>
                <c:pt idx="220">
                  <c:v>-13.710359595969475</c:v>
                </c:pt>
                <c:pt idx="221">
                  <c:v>-13.767144830827762</c:v>
                </c:pt>
                <c:pt idx="222">
                  <c:v>-13.823705186266311</c:v>
                </c:pt>
                <c:pt idx="223">
                  <c:v>-13.880043240956097</c:v>
                </c:pt>
                <c:pt idx="224">
                  <c:v>-13.936161525961673</c:v>
                </c:pt>
                <c:pt idx="225">
                  <c:v>-13.992062525861913</c:v>
                </c:pt>
                <c:pt idx="226">
                  <c:v>-14.539637304329849</c:v>
                </c:pt>
                <c:pt idx="227">
                  <c:v>-15.067909717722882</c:v>
                </c:pt>
                <c:pt idx="228">
                  <c:v>-15.578742572957296</c:v>
                </c:pt>
                <c:pt idx="229">
                  <c:v>-16.073712813594547</c:v>
                </c:pt>
                <c:pt idx="230">
                  <c:v>-16.554165681617814</c:v>
                </c:pt>
                <c:pt idx="231">
                  <c:v>-17.021257008823198</c:v>
                </c:pt>
                <c:pt idx="232">
                  <c:v>-17.475986598590918</c:v>
                </c:pt>
                <c:pt idx="233">
                  <c:v>-17.91922482950276</c:v>
                </c:pt>
                <c:pt idx="234">
                  <c:v>-18.35173403943541</c:v>
                </c:pt>
                <c:pt idx="235">
                  <c:v>-18.774185846280446</c:v>
                </c:pt>
                <c:pt idx="236">
                  <c:v>-19.1871752741745</c:v>
                </c:pt>
                <c:pt idx="237">
                  <c:v>-19.591232346079465</c:v>
                </c:pt>
                <c:pt idx="238">
                  <c:v>-19.986831650835764</c:v>
                </c:pt>
                <c:pt idx="239">
                  <c:v>-20.374400279293447</c:v>
                </c:pt>
                <c:pt idx="240">
                  <c:v>-20.754324438758609</c:v>
                </c:pt>
                <c:pt idx="241">
                  <c:v>-21.126954990100444</c:v>
                </c:pt>
                <c:pt idx="242">
                  <c:v>-21.492612102040859</c:v>
                </c:pt>
                <c:pt idx="243">
                  <c:v>-21.851589178542991</c:v>
                </c:pt>
                <c:pt idx="244">
                  <c:v>-22.204156185045008</c:v>
                </c:pt>
                <c:pt idx="245">
                  <c:v>-22.550562475525116</c:v>
                </c:pt>
                <c:pt idx="246">
                  <c:v>-22.89103920353562</c:v>
                </c:pt>
                <c:pt idx="247">
                  <c:v>-23.225801385295007</c:v>
                </c:pt>
                <c:pt idx="248">
                  <c:v>-23.555049670839196</c:v>
                </c:pt>
                <c:pt idx="249">
                  <c:v>-23.878971869470305</c:v>
                </c:pt>
                <c:pt idx="250">
                  <c:v>-24.197744267817029</c:v>
                </c:pt>
                <c:pt idx="251">
                  <c:v>-24.511532772359136</c:v>
                </c:pt>
                <c:pt idx="252">
                  <c:v>-24.820493902977603</c:v>
                </c:pt>
                <c:pt idx="253">
                  <c:v>-25.124775659743083</c:v>
                </c:pt>
                <c:pt idx="254">
                  <c:v>-25.424518281568087</c:v>
                </c:pt>
                <c:pt idx="255">
                  <c:v>-25.719854912379759</c:v>
                </c:pt>
                <c:pt idx="256">
                  <c:v>-26.010912188006113</c:v>
                </c:pt>
                <c:pt idx="257">
                  <c:v>-26.297810754917968</c:v>
                </c:pt>
                <c:pt idx="258">
                  <c:v>-26.580665730257437</c:v>
                </c:pt>
                <c:pt idx="259">
                  <c:v>-26.859587111152553</c:v>
                </c:pt>
                <c:pt idx="260">
                  <c:v>-27.13468014011735</c:v>
                </c:pt>
                <c:pt idx="261">
                  <c:v>-27.406045632328638</c:v>
                </c:pt>
                <c:pt idx="262">
                  <c:v>-27.673780269721718</c:v>
                </c:pt>
                <c:pt idx="263">
                  <c:v>-27.937976866131375</c:v>
                </c:pt>
                <c:pt idx="264">
                  <c:v>-28.198724607099138</c:v>
                </c:pt>
                <c:pt idx="265">
                  <c:v>-28.456109267455826</c:v>
                </c:pt>
                <c:pt idx="266">
                  <c:v>-28.710213409353447</c:v>
                </c:pt>
                <c:pt idx="267">
                  <c:v>-28.961116563051728</c:v>
                </c:pt>
                <c:pt idx="268">
                  <c:v>-29.208895392450049</c:v>
                </c:pt>
                <c:pt idx="269">
                  <c:v>-29.453623847088089</c:v>
                </c:pt>
                <c:pt idx="270">
                  <c:v>-29.695373302109381</c:v>
                </c:pt>
                <c:pt idx="271">
                  <c:v>-29.934212687486919</c:v>
                </c:pt>
                <c:pt idx="272">
                  <c:v>-30.170208607641818</c:v>
                </c:pt>
                <c:pt idx="273">
                  <c:v>-30.403425452442853</c:v>
                </c:pt>
                <c:pt idx="274">
                  <c:v>-30.633925500450708</c:v>
                </c:pt>
                <c:pt idx="275">
                  <c:v>-30.861769015164594</c:v>
                </c:pt>
                <c:pt idx="276">
                  <c:v>-31.087014334936995</c:v>
                </c:pt>
                <c:pt idx="277">
                  <c:v>-31.309717957143377</c:v>
                </c:pt>
                <c:pt idx="278">
                  <c:v>-31.529934617124663</c:v>
                </c:pt>
                <c:pt idx="279">
                  <c:v>-31.747717362361172</c:v>
                </c:pt>
                <c:pt idx="280">
                  <c:v>-31.963117622284969</c:v>
                </c:pt>
                <c:pt idx="281">
                  <c:v>-32.176185274092653</c:v>
                </c:pt>
                <c:pt idx="282">
                  <c:v>-32.386968704881369</c:v>
                </c:pt>
                <c:pt idx="283">
                  <c:v>-32.595514870396968</c:v>
                </c:pt>
                <c:pt idx="284">
                  <c:v>-32.801869350652709</c:v>
                </c:pt>
                <c:pt idx="285">
                  <c:v>-33.006076402651388</c:v>
                </c:pt>
                <c:pt idx="286">
                  <c:v>-33.208179010420203</c:v>
                </c:pt>
                <c:pt idx="287">
                  <c:v>-33.408218932547499</c:v>
                </c:pt>
                <c:pt idx="288">
                  <c:v>-33.606236747392813</c:v>
                </c:pt>
                <c:pt idx="289">
                  <c:v>-33.802271896125575</c:v>
                </c:pt>
                <c:pt idx="290">
                  <c:v>-33.996362723734016</c:v>
                </c:pt>
                <c:pt idx="291">
                  <c:v>-34.188546518133229</c:v>
                </c:pt>
                <c:pt idx="292">
                  <c:v>-34.378859547490279</c:v>
                </c:pt>
                <c:pt idx="293">
                  <c:v>-34.567337095874471</c:v>
                </c:pt>
                <c:pt idx="294">
                  <c:v>-34.754013497331975</c:v>
                </c:pt>
                <c:pt idx="295">
                  <c:v>-34.938922168476147</c:v>
                </c:pt>
                <c:pt idx="296">
                  <c:v>-35.12209563967761</c:v>
                </c:pt>
                <c:pt idx="297">
                  <c:v>-35.30356558493213</c:v>
                </c:pt>
                <c:pt idx="298">
                  <c:v>-35.483362850478123</c:v>
                </c:pt>
                <c:pt idx="299">
                  <c:v>-35.661517482230799</c:v>
                </c:pt>
                <c:pt idx="300">
                  <c:v>-35.838058752094895</c:v>
                </c:pt>
                <c:pt idx="301">
                  <c:v>-36.013015183213994</c:v>
                </c:pt>
                <c:pt idx="302">
                  <c:v>-36.186414574210161</c:v>
                </c:pt>
                <c:pt idx="303">
                  <c:v>-36.358284022464431</c:v>
                </c:pt>
                <c:pt idx="304">
                  <c:v>-36.528649946485146</c:v>
                </c:pt>
                <c:pt idx="305">
                  <c:v>-36.697538107408334</c:v>
                </c:pt>
                <c:pt idx="306">
                  <c:v>-36.86497362967151</c:v>
                </c:pt>
                <c:pt idx="307">
                  <c:v>-37.030981020899773</c:v>
                </c:pt>
                <c:pt idx="308">
                  <c:v>-37.195584191040766</c:v>
                </c:pt>
                <c:pt idx="309">
                  <c:v>-37.358806470783001</c:v>
                </c:pt>
                <c:pt idx="310">
                  <c:v>-37.52067062928986</c:v>
                </c:pt>
                <c:pt idx="311">
                  <c:v>-37.681198891280147</c:v>
                </c:pt>
                <c:pt idx="312">
                  <c:v>-37.840412953483799</c:v>
                </c:pt>
                <c:pt idx="313">
                  <c:v>-37.998334000500442</c:v>
                </c:pt>
                <c:pt idx="314">
                  <c:v>-38.15498272008638</c:v>
                </c:pt>
                <c:pt idx="315">
                  <c:v>-38.310379317894785</c:v>
                </c:pt>
                <c:pt idx="316">
                  <c:v>-38.464543531692208</c:v>
                </c:pt>
                <c:pt idx="317">
                  <c:v>-38.617494645073378</c:v>
                </c:pt>
                <c:pt idx="318">
                  <c:v>-38.769251500695447</c:v>
                </c:pt>
                <c:pt idx="319">
                  <c:v>-38.919832513051261</c:v>
                </c:pt>
                <c:pt idx="320">
                  <c:v>-39.069255680800943</c:v>
                </c:pt>
                <c:pt idx="321">
                  <c:v>-39.217538598679326</c:v>
                </c:pt>
                <c:pt idx="322">
                  <c:v>-39.364698468996686</c:v>
                </c:pt>
                <c:pt idx="323">
                  <c:v>-39.510752112748968</c:v>
                </c:pt>
                <c:pt idx="324">
                  <c:v>-39.655715980352923</c:v>
                </c:pt>
                <c:pt idx="325">
                  <c:v>-39.799606162021107</c:v>
                </c:pt>
                <c:pt idx="326">
                  <c:v>-39.942438397790781</c:v>
                </c:pt>
                <c:pt idx="327">
                  <c:v>-40.084228087220197</c:v>
                </c:pt>
                <c:pt idx="328">
                  <c:v>-40.224990298765057</c:v>
                </c:pt>
                <c:pt idx="329">
                  <c:v>-40.364739778847607</c:v>
                </c:pt>
                <c:pt idx="330">
                  <c:v>-40.503490960629861</c:v>
                </c:pt>
                <c:pt idx="331">
                  <c:v>-40.641257972502345</c:v>
                </c:pt>
                <c:pt idx="332">
                  <c:v>-40.778054646298976</c:v>
                </c:pt>
                <c:pt idx="333">
                  <c:v>-40.913894525248409</c:v>
                </c:pt>
                <c:pt idx="334">
                  <c:v>-41.048790871671592</c:v>
                </c:pt>
                <c:pt idx="335">
                  <c:v>-41.18275667443492</c:v>
                </c:pt>
                <c:pt idx="336">
                  <c:v>-41.315804656168105</c:v>
                </c:pt>
                <c:pt idx="337">
                  <c:v>-41.447947280255107</c:v>
                </c:pt>
                <c:pt idx="338">
                  <c:v>-41.579196757606745</c:v>
                </c:pt>
                <c:pt idx="339">
                  <c:v>-41.709565053222434</c:v>
                </c:pt>
                <c:pt idx="340">
                  <c:v>-41.839063892549106</c:v>
                </c:pt>
                <c:pt idx="341">
                  <c:v>-41.967704767644214</c:v>
                </c:pt>
                <c:pt idx="342">
                  <c:v>-42.095498943149934</c:v>
                </c:pt>
                <c:pt idx="343">
                  <c:v>-42.222457462085281</c:v>
                </c:pt>
                <c:pt idx="344">
                  <c:v>-42.348591151462429</c:v>
                </c:pt>
                <c:pt idx="345">
                  <c:v>-42.473910627733545</c:v>
                </c:pt>
                <c:pt idx="346">
                  <c:v>-42.598426302073932</c:v>
                </c:pt>
                <c:pt idx="347">
                  <c:v>-42.722148385507126</c:v>
                </c:pt>
                <c:pt idx="348">
                  <c:v>-42.845086893877628</c:v>
                </c:pt>
                <c:pt idx="349">
                  <c:v>-42.967251652676161</c:v>
                </c:pt>
                <c:pt idx="350">
                  <c:v>-43.088652301722789</c:v>
                </c:pt>
                <c:pt idx="351">
                  <c:v>-43.209298299712557</c:v>
                </c:pt>
                <c:pt idx="352">
                  <c:v>-43.329198928628387</c:v>
                </c:pt>
                <c:pt idx="353">
                  <c:v>-43.448363298025598</c:v>
                </c:pt>
                <c:pt idx="354">
                  <c:v>-43.566800349192562</c:v>
                </c:pt>
                <c:pt idx="355">
                  <c:v>-43.6845188591913</c:v>
                </c:pt>
                <c:pt idx="356">
                  <c:v>-43.801527444782415</c:v>
                </c:pt>
                <c:pt idx="357">
                  <c:v>-43.917834566237708</c:v>
                </c:pt>
                <c:pt idx="358">
                  <c:v>-44.033448531044677</c:v>
                </c:pt>
                <c:pt idx="359">
                  <c:v>-44.148377497505933</c:v>
                </c:pt>
                <c:pt idx="360">
                  <c:v>-44.262629478237507</c:v>
                </c:pt>
                <c:pt idx="361">
                  <c:v>-44.376212343568675</c:v>
                </c:pt>
                <c:pt idx="362">
                  <c:v>-44.489133824847158</c:v>
                </c:pt>
                <c:pt idx="363">
                  <c:v>-44.601401517652249</c:v>
                </c:pt>
                <c:pt idx="364">
                  <c:v>-44.713022884919013</c:v>
                </c:pt>
                <c:pt idx="365">
                  <c:v>-44.824005259976367</c:v>
                </c:pt>
                <c:pt idx="366">
                  <c:v>-44.934355849501799</c:v>
                </c:pt>
                <c:pt idx="367">
                  <c:v>-45.044081736395285</c:v>
                </c:pt>
                <c:pt idx="368">
                  <c:v>-45.15318988257502</c:v>
                </c:pt>
                <c:pt idx="369">
                  <c:v>-45.261687131697414</c:v>
                </c:pt>
                <c:pt idx="370">
                  <c:v>-45.369580211803594</c:v>
                </c:pt>
                <c:pt idx="371">
                  <c:v>-45.476875737894858</c:v>
                </c:pt>
                <c:pt idx="372">
                  <c:v>-45.583580214439223</c:v>
                </c:pt>
                <c:pt idx="373">
                  <c:v>-45.689700037811072</c:v>
                </c:pt>
                <c:pt idx="374">
                  <c:v>-45.795241498666137</c:v>
                </c:pt>
                <c:pt idx="375">
                  <c:v>-45.900210784253687</c:v>
                </c:pt>
                <c:pt idx="376">
                  <c:v>-46.004613980667834</c:v>
                </c:pt>
                <c:pt idx="377">
                  <c:v>-46.108457075039794</c:v>
                </c:pt>
                <c:pt idx="378">
                  <c:v>-46.211745957672967</c:v>
                </c:pt>
                <c:pt idx="379">
                  <c:v>-46.314486424122443</c:v>
                </c:pt>
                <c:pt idx="380">
                  <c:v>-46.416684177220617</c:v>
                </c:pt>
                <c:pt idx="381">
                  <c:v>-46.518344829050662</c:v>
                </c:pt>
                <c:pt idx="382">
                  <c:v>-46.619473902869188</c:v>
                </c:pt>
                <c:pt idx="383">
                  <c:v>-46.720076834979679</c:v>
                </c:pt>
                <c:pt idx="384">
                  <c:v>-46.820158976558311</c:v>
                </c:pt>
                <c:pt idx="385">
                  <c:v>-46.919725595433228</c:v>
                </c:pt>
                <c:pt idx="386">
                  <c:v>-47.018781877818931</c:v>
                </c:pt>
                <c:pt idx="387">
                  <c:v>-47.117332930006995</c:v>
                </c:pt>
                <c:pt idx="388">
                  <c:v>-47.215383780014264</c:v>
                </c:pt>
                <c:pt idx="389">
                  <c:v>-47.312939379189856</c:v>
                </c:pt>
                <c:pt idx="390">
                  <c:v>-47.410004603782269</c:v>
                </c:pt>
                <c:pt idx="391">
                  <c:v>-47.506584256467448</c:v>
                </c:pt>
                <c:pt idx="392">
                  <c:v>-47.602683067839244</c:v>
                </c:pt>
                <c:pt idx="393">
                  <c:v>-47.698305697863077</c:v>
                </c:pt>
                <c:pt idx="394">
                  <c:v>-47.793456737293994</c:v>
                </c:pt>
                <c:pt idx="395">
                  <c:v>-47.888140709060096</c:v>
                </c:pt>
                <c:pt idx="396">
                  <c:v>-47.982362069612307</c:v>
                </c:pt>
                <c:pt idx="397">
                  <c:v>-48.076125210241365</c:v>
                </c:pt>
                <c:pt idx="398">
                  <c:v>-48.169434458363057</c:v>
                </c:pt>
                <c:pt idx="399">
                  <c:v>-48.262294078772541</c:v>
                </c:pt>
                <c:pt idx="400">
                  <c:v>-48.354708274868543</c:v>
                </c:pt>
                <c:pt idx="401">
                  <c:v>-48.446681189848363</c:v>
                </c:pt>
                <c:pt idx="402">
                  <c:v>-48.538216907874443</c:v>
                </c:pt>
                <c:pt idx="403">
                  <c:v>-48.629319455213249</c:v>
                </c:pt>
                <c:pt idx="404">
                  <c:v>-48.719992801347338</c:v>
                </c:pt>
                <c:pt idx="405">
                  <c:v>-48.810240860061157</c:v>
                </c:pt>
                <c:pt idx="406">
                  <c:v>-48.900067490501499</c:v>
                </c:pt>
                <c:pt idx="407">
                  <c:v>-48.989476498213051</c:v>
                </c:pt>
                <c:pt idx="408">
                  <c:v>-49.078471636150027</c:v>
                </c:pt>
                <c:pt idx="409">
                  <c:v>-49.167056605664172</c:v>
                </c:pt>
                <c:pt idx="410">
                  <c:v>-49.255235057470074</c:v>
                </c:pt>
                <c:pt idx="411">
                  <c:v>-49.343010592588179</c:v>
                </c:pt>
                <c:pt idx="412">
                  <c:v>-49.430386763266256</c:v>
                </c:pt>
                <c:pt idx="413">
                  <c:v>-49.517367073879711</c:v>
                </c:pt>
                <c:pt idx="414">
                  <c:v>-49.603954981811498</c:v>
                </c:pt>
                <c:pt idx="415">
                  <c:v>-49.690153898312055</c:v>
                </c:pt>
                <c:pt idx="416">
                  <c:v>-49.775967189339752</c:v>
                </c:pt>
                <c:pt idx="417">
                  <c:v>-49.861398176382501</c:v>
                </c:pt>
                <c:pt idx="418">
                  <c:v>-49.946450137260847</c:v>
                </c:pt>
                <c:pt idx="419">
                  <c:v>-50.03112630691318</c:v>
                </c:pt>
                <c:pt idx="420">
                  <c:v>-50.115429878163376</c:v>
                </c:pt>
                <c:pt idx="421">
                  <c:v>-50.199364002471533</c:v>
                </c:pt>
                <c:pt idx="422">
                  <c:v>-50.282931790667959</c:v>
                </c:pt>
                <c:pt idx="423">
                  <c:v>-50.366136313671063</c:v>
                </c:pt>
                <c:pt idx="424">
                  <c:v>-50.448980603189497</c:v>
                </c:pt>
                <c:pt idx="425">
                  <c:v>-50.531467652408921</c:v>
                </c:pt>
                <c:pt idx="426">
                  <c:v>-50.613600416663758</c:v>
                </c:pt>
                <c:pt idx="427">
                  <c:v>-50.695381814094446</c:v>
                </c:pt>
                <c:pt idx="428">
                  <c:v>-50.776814726290375</c:v>
                </c:pt>
                <c:pt idx="429">
                  <c:v>-50.857901998919019</c:v>
                </c:pt>
                <c:pt idx="430">
                  <c:v>-50.938646442341557</c:v>
                </c:pt>
                <c:pt idx="431">
                  <c:v>-51.019050832215243</c:v>
                </c:pt>
                <c:pt idx="432">
                  <c:v>-51.09911791008301</c:v>
                </c:pt>
                <c:pt idx="433">
                  <c:v>-51.178850383950504</c:v>
                </c:pt>
                <c:pt idx="434">
                  <c:v>-51.258250928850877</c:v>
                </c:pt>
                <c:pt idx="435">
                  <c:v>-51.337322187397696</c:v>
                </c:pt>
                <c:pt idx="436">
                  <c:v>-51.416066770326189</c:v>
                </c:pt>
                <c:pt idx="437">
                  <c:v>-51.494487257023195</c:v>
                </c:pt>
                <c:pt idx="438">
                  <c:v>-51.572586196046004</c:v>
                </c:pt>
                <c:pt idx="439">
                  <c:v>-51.650366105630425</c:v>
                </c:pt>
                <c:pt idx="440">
                  <c:v>-51.727829474188319</c:v>
                </c:pt>
                <c:pt idx="441">
                  <c:v>-51.804978760794867</c:v>
                </c:pt>
                <c:pt idx="442">
                  <c:v>-51.881816395665759</c:v>
                </c:pt>
                <c:pt idx="443">
                  <c:v>-51.95834478062465</c:v>
                </c:pt>
                <c:pt idx="444">
                  <c:v>-52.034566289561042</c:v>
                </c:pt>
                <c:pt idx="445">
                  <c:v>-52.110483268878873</c:v>
                </c:pt>
                <c:pt idx="446">
                  <c:v>-52.186098037935906</c:v>
                </c:pt>
                <c:pt idx="447">
                  <c:v>-52.261412889474371</c:v>
                </c:pt>
                <c:pt idx="448">
                  <c:v>-52.336430090042818</c:v>
                </c:pt>
                <c:pt idx="449">
                  <c:v>-52.411151880409584</c:v>
                </c:pt>
                <c:pt idx="450">
                  <c:v>-52.485580475967907</c:v>
                </c:pt>
                <c:pt idx="451">
                  <c:v>-52.559718067133041</c:v>
                </c:pt>
                <c:pt idx="452">
                  <c:v>-52.633566819731435</c:v>
                </c:pt>
                <c:pt idx="453">
                  <c:v>-52.707128875382274</c:v>
                </c:pt>
                <c:pt idx="454">
                  <c:v>-52.780406351871392</c:v>
                </c:pt>
                <c:pt idx="455">
                  <c:v>-52.853401343517923</c:v>
                </c:pt>
                <c:pt idx="456">
                  <c:v>-52.926115921533771</c:v>
                </c:pt>
                <c:pt idx="457">
                  <c:v>-52.998552134376027</c:v>
                </c:pt>
                <c:pt idx="458">
                  <c:v>-53.070712008092549</c:v>
                </c:pt>
                <c:pt idx="459">
                  <c:v>-53.142597546660902</c:v>
                </c:pt>
                <c:pt idx="460">
                  <c:v>-53.214210732320637</c:v>
                </c:pt>
                <c:pt idx="461">
                  <c:v>-53.285553525899331</c:v>
                </c:pt>
                <c:pt idx="462">
                  <c:v>-53.356627867132246</c:v>
                </c:pt>
                <c:pt idx="463">
                  <c:v>-53.42743567497601</c:v>
                </c:pt>
                <c:pt idx="464">
                  <c:v>-53.497978847916201</c:v>
                </c:pt>
                <c:pt idx="465">
                  <c:v>-53.568259264269216</c:v>
                </c:pt>
                <c:pt idx="466">
                  <c:v>-53.638278782478395</c:v>
                </c:pt>
                <c:pt idx="467">
                  <c:v>-53.708039241404506</c:v>
                </c:pt>
                <c:pt idx="468">
                  <c:v>-53.777542460610931</c:v>
                </c:pt>
                <c:pt idx="469">
                  <c:v>-53.846790240643372</c:v>
                </c:pt>
                <c:pt idx="470">
                  <c:v>-53.915784363304496</c:v>
                </c:pt>
                <c:pt idx="471">
                  <c:v>-53.984526591923327</c:v>
                </c:pt>
                <c:pt idx="472">
                  <c:v>-54.053018671619803</c:v>
                </c:pt>
                <c:pt idx="473">
                  <c:v>-54.121262329564381</c:v>
                </c:pt>
                <c:pt idx="474">
                  <c:v>-54.189259275232914</c:v>
                </c:pt>
                <c:pt idx="475">
                  <c:v>-54.257011200656848</c:v>
                </c:pt>
                <c:pt idx="476">
                  <c:v>-54.324519780668865</c:v>
                </c:pt>
                <c:pt idx="477">
                  <c:v>-54.391786673144111</c:v>
                </c:pt>
                <c:pt idx="478">
                  <c:v>-54.458813519236962</c:v>
                </c:pt>
                <c:pt idx="479">
                  <c:v>-54.52560194361368</c:v>
                </c:pt>
                <c:pt idx="480">
                  <c:v>-54.592153554680706</c:v>
                </c:pt>
                <c:pt idx="481">
                  <c:v>-54.658469944809042</c:v>
                </c:pt>
                <c:pt idx="482">
                  <c:v>-54.724552690554525</c:v>
                </c:pt>
                <c:pt idx="483">
                  <c:v>-54.790403352874264</c:v>
                </c:pt>
                <c:pt idx="484">
                  <c:v>-54.85602347733915</c:v>
                </c:pt>
                <c:pt idx="485">
                  <c:v>-54.921414594342707</c:v>
                </c:pt>
                <c:pt idx="486">
                  <c:v>-54.986578219306288</c:v>
                </c:pt>
                <c:pt idx="487">
                  <c:v>-55.051515852880605</c:v>
                </c:pt>
                <c:pt idx="488">
                  <c:v>-55.116228981143763</c:v>
                </c:pt>
                <c:pt idx="489">
                  <c:v>-55.180719075795956</c:v>
                </c:pt>
                <c:pt idx="490">
                  <c:v>-55.244987594350611</c:v>
                </c:pt>
                <c:pt idx="491">
                  <c:v>-55.30903598032242</c:v>
                </c:pt>
                <c:pt idx="492">
                  <c:v>-55.372865663412021</c:v>
                </c:pt>
                <c:pt idx="493">
                  <c:v>-55.436478059687573</c:v>
                </c:pt>
                <c:pt idx="494">
                  <c:v>-55.4998745717632</c:v>
                </c:pt>
                <c:pt idx="495">
                  <c:v>-55.563056588974447</c:v>
                </c:pt>
                <c:pt idx="496">
                  <c:v>-55.626025487550727</c:v>
                </c:pt>
                <c:pt idx="497">
                  <c:v>-55.688782630784893</c:v>
                </c:pt>
                <c:pt idx="498">
                  <c:v>-55.751329369199894</c:v>
                </c:pt>
                <c:pt idx="499">
                  <c:v>-55.813667040712744</c:v>
                </c:pt>
                <c:pt idx="500">
                  <c:v>-55.875796970795676</c:v>
                </c:pt>
                <c:pt idx="501">
                  <c:v>-55.937720472634624</c:v>
                </c:pt>
                <c:pt idx="502">
                  <c:v>-55.99943884728512</c:v>
                </c:pt>
                <c:pt idx="503">
                  <c:v>-56.060953383825606</c:v>
                </c:pt>
                <c:pt idx="504">
                  <c:v>-56.122265359508184</c:v>
                </c:pt>
                <c:pt idx="505">
                  <c:v>-56.183376039906953</c:v>
                </c:pt>
                <c:pt idx="506">
                  <c:v>-56.244286679063869</c:v>
                </c:pt>
                <c:pt idx="507">
                  <c:v>-56.304998519632321</c:v>
                </c:pt>
                <c:pt idx="508">
                  <c:v>-56.365512793018297</c:v>
                </c:pt>
                <c:pt idx="509">
                  <c:v>-56.425830719519269</c:v>
                </c:pt>
                <c:pt idx="510">
                  <c:v>-56.485953508460945</c:v>
                </c:pt>
                <c:pt idx="511">
                  <c:v>-56.545882358331681</c:v>
                </c:pt>
                <c:pt idx="512">
                  <c:v>-56.605618456914904</c:v>
                </c:pt>
                <c:pt idx="513">
                  <c:v>-56.665162981419293</c:v>
                </c:pt>
                <c:pt idx="514">
                  <c:v>-56.724517098606988</c:v>
                </c:pt>
                <c:pt idx="515">
                  <c:v>-56.783681964919737</c:v>
                </c:pt>
                <c:pt idx="516">
                  <c:v>-56.842658726603048</c:v>
                </c:pt>
                <c:pt idx="517">
                  <c:v>-56.901448519828449</c:v>
                </c:pt>
                <c:pt idx="518">
                  <c:v>-56.960052470813736</c:v>
                </c:pt>
                <c:pt idx="519">
                  <c:v>-57.018471695941493</c:v>
                </c:pt>
                <c:pt idx="520">
                  <c:v>-57.076707301875643</c:v>
                </c:pt>
                <c:pt idx="521">
                  <c:v>-57.134760385676245</c:v>
                </c:pt>
                <c:pt idx="522">
                  <c:v>-57.192632034912592</c:v>
                </c:pt>
                <c:pt idx="523">
                  <c:v>-57.250323327774439</c:v>
                </c:pt>
                <c:pt idx="524">
                  <c:v>-57.307835333181643</c:v>
                </c:pt>
                <c:pt idx="525">
                  <c:v>-57.365169110892118</c:v>
                </c:pt>
                <c:pt idx="526">
                  <c:v>-57.422325711608082</c:v>
                </c:pt>
                <c:pt idx="527">
                  <c:v>-57.479306177080772</c:v>
                </c:pt>
                <c:pt idx="528">
                  <c:v>-57.536111540213568</c:v>
                </c:pt>
                <c:pt idx="529">
                  <c:v>-57.592742825163526</c:v>
                </c:pt>
                <c:pt idx="530">
                  <c:v>-57.649201047441494</c:v>
                </c:pt>
                <c:pt idx="531">
                  <c:v>-57.705487214010553</c:v>
                </c:pt>
                <c:pt idx="532">
                  <c:v>-57.761602323383237</c:v>
                </c:pt>
                <c:pt idx="533">
                  <c:v>-57.81754736571709</c:v>
                </c:pt>
                <c:pt idx="534">
                  <c:v>-57.873323322908988</c:v>
                </c:pt>
                <c:pt idx="535">
                  <c:v>-57.928931168687967</c:v>
                </c:pt>
                <c:pt idx="536">
                  <c:v>-57.984371868706724</c:v>
                </c:pt>
                <c:pt idx="537">
                  <c:v>-58.039646380631808</c:v>
                </c:pt>
                <c:pt idx="538">
                  <c:v>-58.094755654232458</c:v>
                </c:pt>
                <c:pt idx="539">
                  <c:v>-58.149700631468207</c:v>
                </c:pt>
                <c:pt idx="540">
                  <c:v>-58.204482246575182</c:v>
                </c:pt>
                <c:pt idx="541">
                  <c:v>-58.259101426151148</c:v>
                </c:pt>
                <c:pt idx="542">
                  <c:v>-58.313559089239405</c:v>
                </c:pt>
                <c:pt idx="543">
                  <c:v>-58.36785614741143</c:v>
                </c:pt>
                <c:pt idx="544">
                  <c:v>-58.421993504848338</c:v>
                </c:pt>
                <c:pt idx="545">
                  <c:v>-58.47597205842122</c:v>
                </c:pt>
                <c:pt idx="546">
                  <c:v>-58.529792697770361</c:v>
                </c:pt>
                <c:pt idx="547">
                  <c:v>-58.583456305383244</c:v>
                </c:pt>
                <c:pt idx="548">
                  <c:v>-58.636963756671648</c:v>
                </c:pt>
                <c:pt idx="549">
                  <c:v>-58.690315920047453</c:v>
                </c:pt>
                <c:pt idx="550">
                  <c:v>-58.743513656997536</c:v>
                </c:pt>
                <c:pt idx="551">
                  <c:v>-58.796557822157567</c:v>
                </c:pt>
                <c:pt idx="552">
                  <c:v>-58.849449263384827</c:v>
                </c:pt>
                <c:pt idx="553">
                  <c:v>-58.902188821829938</c:v>
                </c:pt>
                <c:pt idx="554">
                  <c:v>-58.954777332007765</c:v>
                </c:pt>
                <c:pt idx="555">
                  <c:v>-59.007215621867132</c:v>
                </c:pt>
                <c:pt idx="556">
                  <c:v>-59.059504512859803</c:v>
                </c:pt>
                <c:pt idx="557">
                  <c:v>-59.111644820008365</c:v>
                </c:pt>
                <c:pt idx="558">
                  <c:v>-59.163637351973279</c:v>
                </c:pt>
                <c:pt idx="559">
                  <c:v>-59.215482911119004</c:v>
                </c:pt>
                <c:pt idx="560">
                  <c:v>-59.267182293579204</c:v>
                </c:pt>
                <c:pt idx="561">
                  <c:v>-59.318736289321151</c:v>
                </c:pt>
                <c:pt idx="562">
                  <c:v>-59.370145682209156</c:v>
                </c:pt>
                <c:pt idx="563">
                  <c:v>-59.42141125006728</c:v>
                </c:pt>
                <c:pt idx="564">
                  <c:v>-59.472533764741151</c:v>
                </c:pt>
                <c:pt idx="565">
                  <c:v>-59.523513992158925</c:v>
                </c:pt>
                <c:pt idx="566">
                  <c:v>-59.5743526923915</c:v>
                </c:pt>
                <c:pt idx="567">
                  <c:v>-59.625050619711985</c:v>
                </c:pt>
                <c:pt idx="568">
                  <c:v>-59.67560852265423</c:v>
                </c:pt>
                <c:pt idx="569">
                  <c:v>-59.726027144070777</c:v>
                </c:pt>
                <c:pt idx="570">
                  <c:v>-59.776307221189924</c:v>
                </c:pt>
                <c:pt idx="571">
                  <c:v>-59.826449485672129</c:v>
                </c:pt>
                <c:pt idx="572">
                  <c:v>-59.876454663665619</c:v>
                </c:pt>
                <c:pt idx="573">
                  <c:v>-59.926323475861388</c:v>
                </c:pt>
                <c:pt idx="574">
                  <c:v>-59.976056637547323</c:v>
                </c:pt>
                <c:pt idx="575">
                  <c:v>-60.025654858661817</c:v>
                </c:pt>
                <c:pt idx="576">
                  <c:v>-60.075118843846596</c:v>
                </c:pt>
                <c:pt idx="577">
                  <c:v>-60.124449292498866</c:v>
                </c:pt>
                <c:pt idx="578">
                  <c:v>-60.173646898822852</c:v>
                </c:pt>
                <c:pt idx="579">
                  <c:v>-60.222712351880688</c:v>
                </c:pt>
                <c:pt idx="580">
                  <c:v>-60.2716463356426</c:v>
                </c:pt>
                <c:pt idx="581">
                  <c:v>-60.320449529036502</c:v>
                </c:pt>
                <c:pt idx="582">
                  <c:v>-60.369122605997028</c:v>
                </c:pt>
                <c:pt idx="583">
                  <c:v>-60.417666235513828</c:v>
                </c:pt>
                <c:pt idx="584">
                  <c:v>-60.466081081679384</c:v>
                </c:pt>
                <c:pt idx="585">
                  <c:v>-60.514367803736135</c:v>
                </c:pt>
                <c:pt idx="586">
                  <c:v>-60.562527056123145</c:v>
                </c:pt>
                <c:pt idx="587">
                  <c:v>-60.610559488522007</c:v>
                </c:pt>
                <c:pt idx="588">
                  <c:v>-60.658465745902404</c:v>
                </c:pt>
                <c:pt idx="589">
                  <c:v>-60.706246468566945</c:v>
                </c:pt>
                <c:pt idx="590">
                  <c:v>-60.753902292195569</c:v>
                </c:pt>
                <c:pt idx="591">
                  <c:v>-60.801433847889257</c:v>
                </c:pt>
                <c:pt idx="592">
                  <c:v>-60.848841762213411</c:v>
                </c:pt>
                <c:pt idx="593">
                  <c:v>-60.896126657240586</c:v>
                </c:pt>
                <c:pt idx="594">
                  <c:v>-60.943289150592712</c:v>
                </c:pt>
                <c:pt idx="595">
                  <c:v>-60.990329855482841</c:v>
                </c:pt>
                <c:pt idx="596">
                  <c:v>-61.037249380756393</c:v>
                </c:pt>
                <c:pt idx="597">
                  <c:v>-61.084048330931864</c:v>
                </c:pt>
                <c:pt idx="598">
                  <c:v>-61.130727306241177</c:v>
                </c:pt>
                <c:pt idx="599">
                  <c:v>-61.17728690266933</c:v>
                </c:pt>
                <c:pt idx="600">
                  <c:v>-61.223727711993838</c:v>
                </c:pt>
                <c:pt idx="601">
                  <c:v>-61.27005032182349</c:v>
                </c:pt>
                <c:pt idx="602">
                  <c:v>-61.316255315636809</c:v>
                </c:pt>
                <c:pt idx="603">
                  <c:v>-61.362343272819956</c:v>
                </c:pt>
                <c:pt idx="604">
                  <c:v>-61.408314768704216</c:v>
                </c:pt>
                <c:pt idx="605">
                  <c:v>-61.45417037460313</c:v>
                </c:pt>
                <c:pt idx="606">
                  <c:v>-63.610746342928415</c:v>
                </c:pt>
                <c:pt idx="607">
                  <c:v>-65.537650253422186</c:v>
                </c:pt>
                <c:pt idx="608">
                  <c:v>-67.27898943330996</c:v>
                </c:pt>
                <c:pt idx="609">
                  <c:v>-68.86769874437843</c:v>
                </c:pt>
                <c:pt idx="610">
                  <c:v>-70.328934055548785</c:v>
                </c:pt>
                <c:pt idx="611">
                  <c:v>-71.682285891455422</c:v>
                </c:pt>
                <c:pt idx="612">
                  <c:v>-72.943271135785736</c:v>
                </c:pt>
                <c:pt idx="613">
                  <c:v>-74.124365143178906</c:v>
                </c:pt>
                <c:pt idx="614">
                  <c:v>-75.235732079502185</c:v>
                </c:pt>
                <c:pt idx="615">
                  <c:v>-76.285752003636588</c:v>
                </c:pt>
                <c:pt idx="616">
                  <c:v>-77.281408019435403</c:v>
                </c:pt>
                <c:pt idx="617">
                  <c:v>-78.228575217983945</c:v>
                </c:pt>
                <c:pt idx="618">
                  <c:v>-78.594664746777241</c:v>
                </c:pt>
                <c:pt idx="619">
                  <c:v>-78.953946068081791</c:v>
                </c:pt>
                <c:pt idx="620">
                  <c:v>-79.306700408288648</c:v>
                </c:pt>
                <c:pt idx="621">
                  <c:v>-79.653192153609652</c:v>
                </c:pt>
                <c:pt idx="622">
                  <c:v>-79.993670145213372</c:v>
                </c:pt>
                <c:pt idx="623">
                  <c:v>-80.328368853381136</c:v>
                </c:pt>
                <c:pt idx="624">
                  <c:v>-80.657509443859666</c:v>
                </c:pt>
                <c:pt idx="625">
                  <c:v>-80.981300747963232</c:v>
                </c:pt>
                <c:pt idx="626">
                  <c:v>-81.299940146575537</c:v>
                </c:pt>
                <c:pt idx="627">
                  <c:v>-81.613614376988352</c:v>
                </c:pt>
                <c:pt idx="628">
                  <c:v>-81.922500270461299</c:v>
                </c:pt>
                <c:pt idx="629">
                  <c:v>-82.22676542747206</c:v>
                </c:pt>
                <c:pt idx="630">
                  <c:v>-82.526568836829796</c:v>
                </c:pt>
                <c:pt idx="631">
                  <c:v>-82.822061444128693</c:v>
                </c:pt>
                <c:pt idx="632">
                  <c:v>-83.113386674410364</c:v>
                </c:pt>
                <c:pt idx="633">
                  <c:v>-83.400680913370422</c:v>
                </c:pt>
                <c:pt idx="634">
                  <c:v>-83.684073950977051</c:v>
                </c:pt>
                <c:pt idx="635">
                  <c:v>-83.963689390957114</c:v>
                </c:pt>
                <c:pt idx="636">
                  <c:v>-84.239645029242837</c:v>
                </c:pt>
                <c:pt idx="637">
                  <c:v>-84.512053204151528</c:v>
                </c:pt>
                <c:pt idx="638">
                  <c:v>-84.781021120788282</c:v>
                </c:pt>
                <c:pt idx="639">
                  <c:v>-85.046651151909401</c:v>
                </c:pt>
                <c:pt idx="640">
                  <c:v>-85.309041117263348</c:v>
                </c:pt>
                <c:pt idx="641">
                  <c:v>-85.568284543226355</c:v>
                </c:pt>
                <c:pt idx="642">
                  <c:v>-85.824470904375616</c:v>
                </c:pt>
                <c:pt idx="643">
                  <c:v>-86.077685848484165</c:v>
                </c:pt>
                <c:pt idx="644">
                  <c:v>-86.328011406282997</c:v>
                </c:pt>
                <c:pt idx="645">
                  <c:v>-86.575526187209263</c:v>
                </c:pt>
                <c:pt idx="646">
                  <c:v>-86.820305562248436</c:v>
                </c:pt>
                <c:pt idx="647">
                  <c:v>-87.062421834876673</c:v>
                </c:pt>
                <c:pt idx="648">
                  <c:v>-87.301944401019711</c:v>
                </c:pt>
                <c:pt idx="649">
                  <c:v>-87.538939898863674</c:v>
                </c:pt>
                <c:pt idx="650">
                  <c:v>-87.773472349279245</c:v>
                </c:pt>
                <c:pt idx="651">
                  <c:v>-88.005603287555644</c:v>
                </c:pt>
                <c:pt idx="652">
                  <c:v>-88.23539188708061</c:v>
                </c:pt>
                <c:pt idx="653">
                  <c:v>-88.46289507554927</c:v>
                </c:pt>
                <c:pt idx="654">
                  <c:v>-88.688167644235776</c:v>
                </c:pt>
                <c:pt idx="655">
                  <c:v>-88.911262350817864</c:v>
                </c:pt>
                <c:pt idx="656">
                  <c:v>-89.132230016204318</c:v>
                </c:pt>
                <c:pt idx="657">
                  <c:v>-89.351119615778956</c:v>
                </c:pt>
                <c:pt idx="658">
                  <c:v>-89.567978365441846</c:v>
                </c:pt>
                <c:pt idx="659">
                  <c:v>-89.782851802798703</c:v>
                </c:pt>
                <c:pt idx="660">
                  <c:v>-89.9957838638216</c:v>
                </c:pt>
                <c:pt idx="661">
                  <c:v>-90.206816955279393</c:v>
                </c:pt>
                <c:pt idx="662">
                  <c:v>-90.415992023213846</c:v>
                </c:pt>
                <c:pt idx="663">
                  <c:v>-90.623348617716005</c:v>
                </c:pt>
                <c:pt idx="664">
                  <c:v>-90.828924954238857</c:v>
                </c:pt>
                <c:pt idx="665">
                  <c:v>-91.032757971664822</c:v>
                </c:pt>
                <c:pt idx="666">
                  <c:v>-91.234883387330257</c:v>
                </c:pt>
                <c:pt idx="667">
                  <c:v>-91.435335749195218</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11.957860900053852</c:v>
                </c:pt>
              </c:numCache>
            </c:numRef>
          </c:xVal>
          <c:yVal>
            <c:numRef>
              <c:f>'Bode Plots Calculations'!$BF$683</c:f>
              <c:numCache>
                <c:formatCode>General</c:formatCode>
                <c:ptCount val="1"/>
                <c:pt idx="0">
                  <c:v>13.938643862564305</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8.8419412929864674</c:v>
                </c:pt>
              </c:numCache>
            </c:numRef>
          </c:xVal>
          <c:yVal>
            <c:numRef>
              <c:f>'Bode Plots Calculations'!$BF$684</c:f>
              <c:numCache>
                <c:formatCode>General</c:formatCode>
                <c:ptCount val="1"/>
                <c:pt idx="0">
                  <c:v>12.817362396364624</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8.4032895770637381</c:v>
                </c:pt>
              </c:numCache>
            </c:numRef>
          </c:xVal>
          <c:yVal>
            <c:numRef>
              <c:f>'Bode Plots Calculations'!$BF$685</c:f>
              <c:numCache>
                <c:formatCode>General</c:formatCode>
                <c:ptCount val="1"/>
                <c:pt idx="0">
                  <c:v>12.459186653869317</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4019.0642240847569</c:v>
                </c:pt>
              </c:numCache>
            </c:numRef>
          </c:xVal>
          <c:yVal>
            <c:numRef>
              <c:f>'Bode Plots Calculations'!$BF$686</c:f>
              <c:numCache>
                <c:formatCode>General</c:formatCode>
                <c:ptCount val="1"/>
                <c:pt idx="0">
                  <c:v>-74.211454779247916</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167.99688456674286</c:v>
                </c:pt>
              </c:numCache>
            </c:numRef>
          </c:xVal>
          <c:yVal>
            <c:numRef>
              <c:f>'Bode Plots Calculations'!$BF$687</c:f>
              <c:numCache>
                <c:formatCode>General</c:formatCode>
                <c:ptCount val="1"/>
                <c:pt idx="0">
                  <c:v>-20.220069951331467</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1591.5494327375638</c:v>
                </c:pt>
              </c:numCache>
            </c:numRef>
          </c:xVal>
          <c:yVal>
            <c:numRef>
              <c:f>'Bode Plots Calculations'!$BF$682</c:f>
              <c:numCache>
                <c:formatCode>General</c:formatCode>
                <c:ptCount val="1"/>
                <c:pt idx="0">
                  <c:v>-57.26816464584023</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-63.515202209878623</c:v>
                </c:pt>
                <c:pt idx="1">
                  <c:v>-75.99652557618893</c:v>
                </c:pt>
                <c:pt idx="2">
                  <c:v>-80.543706117550713</c:v>
                </c:pt>
                <c:pt idx="3">
                  <c:v>-82.861971050074374</c:v>
                </c:pt>
                <c:pt idx="4">
                  <c:v>-84.260748427859355</c:v>
                </c:pt>
                <c:pt idx="5">
                  <c:v>-85.19382062605078</c:v>
                </c:pt>
                <c:pt idx="6">
                  <c:v>-85.85899659317343</c:v>
                </c:pt>
                <c:pt idx="7">
                  <c:v>-86.356081716624871</c:v>
                </c:pt>
                <c:pt idx="8">
                  <c:v>-86.740826439099308</c:v>
                </c:pt>
                <c:pt idx="9">
                  <c:v>-87.046799801584896</c:v>
                </c:pt>
                <c:pt idx="10">
                  <c:v>-88.369418988081989</c:v>
                </c:pt>
                <c:pt idx="11">
                  <c:v>-88.742729099341659</c:v>
                </c:pt>
                <c:pt idx="12">
                  <c:v>-88.87840665072396</c:v>
                </c:pt>
                <c:pt idx="13">
                  <c:v>-88.919002219600287</c:v>
                </c:pt>
                <c:pt idx="14">
                  <c:v>-88.912051959352681</c:v>
                </c:pt>
                <c:pt idx="15">
                  <c:v>-88.877932276927353</c:v>
                </c:pt>
                <c:pt idx="16">
                  <c:v>-88.82683253786152</c:v>
                </c:pt>
                <c:pt idx="17">
                  <c:v>-88.764414016084601</c:v>
                </c:pt>
                <c:pt idx="18">
                  <c:v>-88.694073781411262</c:v>
                </c:pt>
                <c:pt idx="19">
                  <c:v>-87.816628185353025</c:v>
                </c:pt>
                <c:pt idx="20">
                  <c:v>-86.844990805741574</c:v>
                </c:pt>
                <c:pt idx="21">
                  <c:v>-85.850957383912842</c:v>
                </c:pt>
                <c:pt idx="22">
                  <c:v>-84.849254028835659</c:v>
                </c:pt>
                <c:pt idx="23">
                  <c:v>-83.845093462661808</c:v>
                </c:pt>
                <c:pt idx="24">
                  <c:v>-82.840968515401713</c:v>
                </c:pt>
                <c:pt idx="25">
                  <c:v>-81.838350186816641</c:v>
                </c:pt>
                <c:pt idx="26">
                  <c:v>-80.838253395315846</c:v>
                </c:pt>
                <c:pt idx="27">
                  <c:v>-79.8414630446308</c:v>
                </c:pt>
                <c:pt idx="28">
                  <c:v>-74.927943973476829</c:v>
                </c:pt>
                <c:pt idx="29">
                  <c:v>-70.176285838561682</c:v>
                </c:pt>
                <c:pt idx="30">
                  <c:v>-65.639169840857747</c:v>
                </c:pt>
                <c:pt idx="31">
                  <c:v>-61.36346512197408</c:v>
                </c:pt>
                <c:pt idx="32">
                  <c:v>-57.391676186566642</c:v>
                </c:pt>
                <c:pt idx="33">
                  <c:v>-53.762872522785592</c:v>
                </c:pt>
                <c:pt idx="34">
                  <c:v>-50.51385158930163</c:v>
                </c:pt>
                <c:pt idx="35">
                  <c:v>-47.680630493127559</c:v>
                </c:pt>
                <c:pt idx="36">
                  <c:v>-45.300235770333941</c:v>
                </c:pt>
                <c:pt idx="37">
                  <c:v>-43.412719456001902</c:v>
                </c:pt>
                <c:pt idx="38">
                  <c:v>-42.063285024887811</c:v>
                </c:pt>
                <c:pt idx="39">
                  <c:v>-41.304310562890585</c:v>
                </c:pt>
                <c:pt idx="40">
                  <c:v>-41.196852438740443</c:v>
                </c:pt>
                <c:pt idx="41">
                  <c:v>-41.810826161747762</c:v>
                </c:pt>
                <c:pt idx="42">
                  <c:v>-43.222419315457586</c:v>
                </c:pt>
                <c:pt idx="43">
                  <c:v>-45.506425406525423</c:v>
                </c:pt>
                <c:pt idx="44">
                  <c:v>-48.720513118832478</c:v>
                </c:pt>
                <c:pt idx="45">
                  <c:v>-52.879255163791761</c:v>
                </c:pt>
                <c:pt idx="46">
                  <c:v>-57.92037208835967</c:v>
                </c:pt>
                <c:pt idx="47">
                  <c:v>-63.675487134759251</c:v>
                </c:pt>
                <c:pt idx="48">
                  <c:v>-69.86750899054023</c:v>
                </c:pt>
                <c:pt idx="49">
                  <c:v>-76.152032934544664</c:v>
                </c:pt>
                <c:pt idx="50">
                  <c:v>-82.192821057538382</c:v>
                </c:pt>
                <c:pt idx="51">
                  <c:v>-87.733174243220788</c:v>
                </c:pt>
                <c:pt idx="52">
                  <c:v>-92.628634928126104</c:v>
                </c:pt>
                <c:pt idx="53">
                  <c:v>-96.837425676995991</c:v>
                </c:pt>
                <c:pt idx="54">
                  <c:v>-100.38871471604908</c:v>
                </c:pt>
                <c:pt idx="55">
                  <c:v>-103.3495561969039</c:v>
                </c:pt>
                <c:pt idx="56">
                  <c:v>-105.80062657703245</c:v>
                </c:pt>
                <c:pt idx="57">
                  <c:v>-107.82191953651581</c:v>
                </c:pt>
                <c:pt idx="58">
                  <c:v>-109.48584739500755</c:v>
                </c:pt>
                <c:pt idx="59">
                  <c:v>-110.85482486962226</c:v>
                </c:pt>
                <c:pt idx="60">
                  <c:v>-111.98119121867494</c:v>
                </c:pt>
                <c:pt idx="61">
                  <c:v>-112.90817245503993</c:v>
                </c:pt>
                <c:pt idx="62">
                  <c:v>-113.67118680369137</c:v>
                </c:pt>
                <c:pt idx="63">
                  <c:v>-114.29915704502375</c:v>
                </c:pt>
                <c:pt idx="64">
                  <c:v>-114.81568872316188</c:v>
                </c:pt>
                <c:pt idx="65">
                  <c:v>-115.24007105186392</c:v>
                </c:pt>
                <c:pt idx="66">
                  <c:v>-115.58810230862944</c:v>
                </c:pt>
                <c:pt idx="67">
                  <c:v>-115.87275946631371</c:v>
                </c:pt>
                <c:pt idx="68">
                  <c:v>-116.10473678588048</c:v>
                </c:pt>
                <c:pt idx="69">
                  <c:v>-116.29287730824133</c:v>
                </c:pt>
                <c:pt idx="70">
                  <c:v>-116.44451820260663</c:v>
                </c:pt>
                <c:pt idx="71">
                  <c:v>-116.56576742285266</c:v>
                </c:pt>
                <c:pt idx="72">
                  <c:v>-116.66172581118344</c:v>
                </c:pt>
                <c:pt idx="73">
                  <c:v>-116.73666592959509</c:v>
                </c:pt>
                <c:pt idx="74">
                  <c:v>-116.79417654329623</c:v>
                </c:pt>
                <c:pt idx="75">
                  <c:v>-116.83727978709128</c:v>
                </c:pt>
                <c:pt idx="76">
                  <c:v>-116.86852654678118</c:v>
                </c:pt>
                <c:pt idx="77">
                  <c:v>-116.89007441040771</c:v>
                </c:pt>
                <c:pt idx="78">
                  <c:v>-116.90375162335613</c:v>
                </c:pt>
                <c:pt idx="79">
                  <c:v>-116.91110976212219</c:v>
                </c:pt>
                <c:pt idx="80">
                  <c:v>-116.91346727960575</c:v>
                </c:pt>
                <c:pt idx="81">
                  <c:v>-116.91194563506173</c:v>
                </c:pt>
                <c:pt idx="82">
                  <c:v>-116.90749937692301</c:v>
                </c:pt>
                <c:pt idx="83">
                  <c:v>-116.90094127538475</c:v>
                </c:pt>
                <c:pt idx="84">
                  <c:v>-116.89296338749912</c:v>
                </c:pt>
                <c:pt idx="85">
                  <c:v>-116.88415476793057</c:v>
                </c:pt>
                <c:pt idx="86">
                  <c:v>-116.87501640370215</c:v>
                </c:pt>
                <c:pt idx="87">
                  <c:v>-116.86597384369595</c:v>
                </c:pt>
                <c:pt idx="88">
                  <c:v>-116.85738790751836</c:v>
                </c:pt>
                <c:pt idx="89">
                  <c:v>-116.84956378908363</c:v>
                </c:pt>
                <c:pt idx="90">
                  <c:v>-116.84275881438576</c:v>
                </c:pt>
                <c:pt idx="91">
                  <c:v>-116.83718906767311</c:v>
                </c:pt>
                <c:pt idx="92">
                  <c:v>-116.83303506345597</c:v>
                </c:pt>
                <c:pt idx="93">
                  <c:v>-116.83044661177989</c:v>
                </c:pt>
                <c:pt idx="94">
                  <c:v>-116.82954699964424</c:v>
                </c:pt>
                <c:pt idx="95">
                  <c:v>-116.8304365912869</c:v>
                </c:pt>
                <c:pt idx="96">
                  <c:v>-116.83319593345044</c:v>
                </c:pt>
                <c:pt idx="97">
                  <c:v>-116.83788843801995</c:v>
                </c:pt>
                <c:pt idx="98">
                  <c:v>-116.84456270305098</c:v>
                </c:pt>
                <c:pt idx="99">
                  <c:v>-116.85325452374943</c:v>
                </c:pt>
                <c:pt idx="100">
                  <c:v>-116.8639886370827</c:v>
                </c:pt>
                <c:pt idx="101">
                  <c:v>-116.8767802371123</c:v>
                </c:pt>
                <c:pt idx="102">
                  <c:v>-116.89163629261409</c:v>
                </c:pt>
                <c:pt idx="103">
                  <c:v>-116.90855669391144</c:v>
                </c:pt>
                <c:pt idx="104">
                  <c:v>-116.92753525193564</c:v>
                </c:pt>
                <c:pt idx="105">
                  <c:v>-116.94856056922558</c:v>
                </c:pt>
                <c:pt idx="106">
                  <c:v>-116.97161679978383</c:v>
                </c:pt>
                <c:pt idx="107">
                  <c:v>-116.99668431233485</c:v>
                </c:pt>
                <c:pt idx="108">
                  <c:v>-117.02374026951365</c:v>
                </c:pt>
                <c:pt idx="109">
                  <c:v>-117.05275913379724</c:v>
                </c:pt>
                <c:pt idx="110">
                  <c:v>-117.08371310952295</c:v>
                </c:pt>
                <c:pt idx="111">
                  <c:v>-117.11657252908374</c:v>
                </c:pt>
                <c:pt idx="112">
                  <c:v>-117.15130619031515</c:v>
                </c:pt>
                <c:pt idx="113">
                  <c:v>-117.18788165116553</c:v>
                </c:pt>
                <c:pt idx="114">
                  <c:v>-117.22626548694602</c:v>
                </c:pt>
                <c:pt idx="115">
                  <c:v>-117.26642351477412</c:v>
                </c:pt>
                <c:pt idx="116">
                  <c:v>-117.30832098923224</c:v>
                </c:pt>
                <c:pt idx="117">
                  <c:v>-117.35192277275264</c:v>
                </c:pt>
                <c:pt idx="118">
                  <c:v>-117.39719348379914</c:v>
                </c:pt>
                <c:pt idx="119">
                  <c:v>-117.44409762553077</c:v>
                </c:pt>
                <c:pt idx="120">
                  <c:v>-117.49259969730063</c:v>
                </c:pt>
                <c:pt idx="121">
                  <c:v>-117.54266429105439</c:v>
                </c:pt>
                <c:pt idx="122">
                  <c:v>-117.59425617443921</c:v>
                </c:pt>
                <c:pt idx="123">
                  <c:v>-117.64734036221512</c:v>
                </c:pt>
                <c:pt idx="124">
                  <c:v>-117.70188217736917</c:v>
                </c:pt>
                <c:pt idx="125">
                  <c:v>-117.75784730316397</c:v>
                </c:pt>
                <c:pt idx="126">
                  <c:v>-117.81520182720632</c:v>
                </c:pt>
                <c:pt idx="127">
                  <c:v>-117.87391227849285</c:v>
                </c:pt>
                <c:pt idx="128">
                  <c:v>-117.93394565827649</c:v>
                </c:pt>
                <c:pt idx="129">
                  <c:v>-117.99526946549865</c:v>
                </c:pt>
                <c:pt idx="130">
                  <c:v>-118.0578517174459</c:v>
                </c:pt>
                <c:pt idx="131">
                  <c:v>-118.12166096621137</c:v>
                </c:pt>
                <c:pt idx="132">
                  <c:v>-118.18666631147593</c:v>
                </c:pt>
                <c:pt idx="133">
                  <c:v>-118.25283741006355</c:v>
                </c:pt>
                <c:pt idx="134">
                  <c:v>-118.32014448267211</c:v>
                </c:pt>
                <c:pt idx="135">
                  <c:v>-118.38855831813775</c:v>
                </c:pt>
                <c:pt idx="136">
                  <c:v>-118.45805027554515</c:v>
                </c:pt>
                <c:pt idx="137">
                  <c:v>-118.5285922844653</c:v>
                </c:pt>
                <c:pt idx="138">
                  <c:v>-118.6001568435658</c:v>
                </c:pt>
                <c:pt idx="139">
                  <c:v>-118.67271701781371</c:v>
                </c:pt>
                <c:pt idx="140">
                  <c:v>-118.74624643446369</c:v>
                </c:pt>
                <c:pt idx="141">
                  <c:v>-118.82071927800382</c:v>
                </c:pt>
                <c:pt idx="142">
                  <c:v>-118.89611028420974</c:v>
                </c:pt>
                <c:pt idx="143">
                  <c:v>-118.97239473344236</c:v>
                </c:pt>
                <c:pt idx="144">
                  <c:v>-119.04954844330713</c:v>
                </c:pt>
                <c:pt idx="145">
                  <c:v>-119.12754776078025</c:v>
                </c:pt>
                <c:pt idx="146">
                  <c:v>-119.20636955389455</c:v>
                </c:pt>
                <c:pt idx="147">
                  <c:v>-119.28599120306647</c:v>
                </c:pt>
                <c:pt idx="148">
                  <c:v>-119.3663905921367</c:v>
                </c:pt>
                <c:pt idx="149">
                  <c:v>-119.44754609918789</c:v>
                </c:pt>
                <c:pt idx="150">
                  <c:v>-119.52943658719539</c:v>
                </c:pt>
                <c:pt idx="151">
                  <c:v>-119.61204139455985</c:v>
                </c:pt>
                <c:pt idx="152">
                  <c:v>-119.69534032556547</c:v>
                </c:pt>
                <c:pt idx="153">
                  <c:v>-119.7793136408004</c:v>
                </c:pt>
                <c:pt idx="154">
                  <c:v>-119.86394204757343</c:v>
                </c:pt>
                <c:pt idx="155">
                  <c:v>-119.94920669035491</c:v>
                </c:pt>
                <c:pt idx="156">
                  <c:v>-120.03508914126667</c:v>
                </c:pt>
                <c:pt idx="157">
                  <c:v>-120.12157139064261</c:v>
                </c:pt>
                <c:pt idx="158">
                  <c:v>-120.20863583767891</c:v>
                </c:pt>
                <c:pt idx="159">
                  <c:v>-120.29626528118874</c:v>
                </c:pt>
                <c:pt idx="160">
                  <c:v>-120.38444291047549</c:v>
                </c:pt>
                <c:pt idx="161">
                  <c:v>-120.47315229633597</c:v>
                </c:pt>
                <c:pt idx="162">
                  <c:v>-120.56237738220328</c:v>
                </c:pt>
                <c:pt idx="163">
                  <c:v>-120.65210247543601</c:v>
                </c:pt>
                <c:pt idx="164">
                  <c:v>-120.74231223876185</c:v>
                </c:pt>
                <c:pt idx="165">
                  <c:v>-120.8329916818798</c:v>
                </c:pt>
                <c:pt idx="166">
                  <c:v>-120.92412615322478</c:v>
                </c:pt>
                <c:pt idx="167">
                  <c:v>-121.01570133189823</c:v>
                </c:pt>
                <c:pt idx="168">
                  <c:v>-121.10770321976649</c:v>
                </c:pt>
                <c:pt idx="169">
                  <c:v>-121.20011813372825</c:v>
                </c:pt>
                <c:pt idx="170">
                  <c:v>-121.29293269815152</c:v>
                </c:pt>
                <c:pt idx="171">
                  <c:v>-121.38613383748095</c:v>
                </c:pt>
                <c:pt idx="172">
                  <c:v>-121.47970876901385</c:v>
                </c:pt>
                <c:pt idx="173">
                  <c:v>-121.57364499584503</c:v>
                </c:pt>
                <c:pt idx="174">
                  <c:v>-121.66793029997832</c:v>
                </c:pt>
                <c:pt idx="175">
                  <c:v>-121.76255273560376</c:v>
                </c:pt>
                <c:pt idx="176">
                  <c:v>-121.85750062253821</c:v>
                </c:pt>
                <c:pt idx="177">
                  <c:v>-121.95276253982702</c:v>
                </c:pt>
                <c:pt idx="178">
                  <c:v>-122.04832731950461</c:v>
                </c:pt>
                <c:pt idx="179">
                  <c:v>-122.1441840405114</c:v>
                </c:pt>
                <c:pt idx="180">
                  <c:v>-122.24032202276419</c:v>
                </c:pt>
                <c:pt idx="181">
                  <c:v>-122.3367308213772</c:v>
                </c:pt>
                <c:pt idx="182">
                  <c:v>-122.43340022103085</c:v>
                </c:pt>
                <c:pt idx="183">
                  <c:v>-122.53032023048559</c:v>
                </c:pt>
                <c:pt idx="184">
                  <c:v>-122.62748107723679</c:v>
                </c:pt>
                <c:pt idx="185">
                  <c:v>-122.72487320230877</c:v>
                </c:pt>
                <c:pt idx="186">
                  <c:v>-122.8224872551843</c:v>
                </c:pt>
                <c:pt idx="187">
                  <c:v>-122.92031408886587</c:v>
                </c:pt>
                <c:pt idx="188">
                  <c:v>-123.01834475506674</c:v>
                </c:pt>
                <c:pt idx="189">
                  <c:v>-123.1165704995278</c:v>
                </c:pt>
                <c:pt idx="190">
                  <c:v>-123.21498275745756</c:v>
                </c:pt>
                <c:pt idx="191">
                  <c:v>-123.31357314909158</c:v>
                </c:pt>
                <c:pt idx="192">
                  <c:v>-123.41233347536941</c:v>
                </c:pt>
                <c:pt idx="193">
                  <c:v>-123.51125571372484</c:v>
                </c:pt>
                <c:pt idx="194">
                  <c:v>-123.61033201398726</c:v>
                </c:pt>
                <c:pt idx="195">
                  <c:v>-123.70955469439075</c:v>
                </c:pt>
                <c:pt idx="196">
                  <c:v>-123.80891623768854</c:v>
                </c:pt>
                <c:pt idx="197">
                  <c:v>-123.90840928736947</c:v>
                </c:pt>
                <c:pt idx="198">
                  <c:v>-124.00802664397391</c:v>
                </c:pt>
                <c:pt idx="199">
                  <c:v>-124.10776126150665</c:v>
                </c:pt>
                <c:pt idx="200">
                  <c:v>-124.20760624394387</c:v>
                </c:pt>
                <c:pt idx="201">
                  <c:v>-124.30755484183123</c:v>
                </c:pt>
                <c:pt idx="202">
                  <c:v>-124.40760044897154</c:v>
                </c:pt>
                <c:pt idx="203">
                  <c:v>-124.50773659919857</c:v>
                </c:pt>
                <c:pt idx="204">
                  <c:v>-124.60795696323481</c:v>
                </c:pt>
                <c:pt idx="205">
                  <c:v>-124.70825534563154</c:v>
                </c:pt>
                <c:pt idx="206">
                  <c:v>-124.80862568178752</c:v>
                </c:pt>
                <c:pt idx="207">
                  <c:v>-124.90906203504559</c:v>
                </c:pt>
                <c:pt idx="208">
                  <c:v>-125.00955859386367</c:v>
                </c:pt>
                <c:pt idx="209">
                  <c:v>-125.11010966905918</c:v>
                </c:pt>
                <c:pt idx="210">
                  <c:v>-125.21070969112388</c:v>
                </c:pt>
                <c:pt idx="211">
                  <c:v>-125.31135320760748</c:v>
                </c:pt>
                <c:pt idx="212">
                  <c:v>-125.41203488056856</c:v>
                </c:pt>
                <c:pt idx="213">
                  <c:v>-125.51274948408974</c:v>
                </c:pt>
                <c:pt idx="214">
                  <c:v>-125.61349190185656</c:v>
                </c:pt>
                <c:pt idx="215">
                  <c:v>-125.71425712479726</c:v>
                </c:pt>
                <c:pt idx="216">
                  <c:v>-125.81504024878214</c:v>
                </c:pt>
                <c:pt idx="217">
                  <c:v>-125.91583647238112</c:v>
                </c:pt>
                <c:pt idx="218">
                  <c:v>-126.01664109467688</c:v>
                </c:pt>
                <c:pt idx="219">
                  <c:v>-126.11744951313331</c:v>
                </c:pt>
                <c:pt idx="220">
                  <c:v>-126.21825722151635</c:v>
                </c:pt>
                <c:pt idx="221">
                  <c:v>-126.31905980786699</c:v>
                </c:pt>
                <c:pt idx="222">
                  <c:v>-126.41985295252387</c:v>
                </c:pt>
                <c:pt idx="223">
                  <c:v>-126.52063242619458</c:v>
                </c:pt>
                <c:pt idx="224">
                  <c:v>-126.62139408807501</c:v>
                </c:pt>
                <c:pt idx="225">
                  <c:v>-126.7221338840132</c:v>
                </c:pt>
                <c:pt idx="226">
                  <c:v>-127.72749580119543</c:v>
                </c:pt>
                <c:pt idx="227">
                  <c:v>-128.7267912062841</c:v>
                </c:pt>
                <c:pt idx="228">
                  <c:v>-129.71715150406357</c:v>
                </c:pt>
                <c:pt idx="229">
                  <c:v>-130.69626862001121</c:v>
                </c:pt>
                <c:pt idx="230">
                  <c:v>-131.6622971777166</c:v>
                </c:pt>
                <c:pt idx="231">
                  <c:v>-132.61377565720747</c:v>
                </c:pt>
                <c:pt idx="232">
                  <c:v>-133.54956226832721</c:v>
                </c:pt>
                <c:pt idx="233">
                  <c:v>-134.46878235204153</c:v>
                </c:pt>
                <c:pt idx="234">
                  <c:v>-135.37078490819417</c:v>
                </c:pt>
                <c:pt idx="235">
                  <c:v>-136.25510642315169</c:v>
                </c:pt>
                <c:pt idx="236">
                  <c:v>-137.12144059416556</c:v>
                </c:pt>
                <c:pt idx="237">
                  <c:v>-137.96961286138972</c:v>
                </c:pt>
                <c:pt idx="238">
                  <c:v>-138.79955889343404</c:v>
                </c:pt>
                <c:pt idx="239">
                  <c:v>-139.61130634962612</c:v>
                </c:pt>
                <c:pt idx="240">
                  <c:v>-140.40495937717756</c:v>
                </c:pt>
                <c:pt idx="241">
                  <c:v>-141.18068540529495</c:v>
                </c:pt>
                <c:pt idx="242">
                  <c:v>-141.93870387892693</c:v>
                </c:pt>
                <c:pt idx="243">
                  <c:v>-142.67927663811929</c:v>
                </c:pt>
                <c:pt idx="244">
                  <c:v>-143.40269969909582</c:v>
                </c:pt>
                <c:pt idx="245">
                  <c:v>-144.10929623332225</c:v>
                </c:pt>
                <c:pt idx="246">
                  <c:v>-144.79941057324538</c:v>
                </c:pt>
                <c:pt idx="247">
                  <c:v>-145.47340309985483</c:v>
                </c:pt>
                <c:pt idx="248">
                  <c:v>-146.13164588897507</c:v>
                </c:pt>
                <c:pt idx="249">
                  <c:v>-146.77451901124124</c:v>
                </c:pt>
                <c:pt idx="250">
                  <c:v>-147.40240739578687</c:v>
                </c:pt>
                <c:pt idx="251">
                  <c:v>-148.01569818034207</c:v>
                </c:pt>
                <c:pt idx="252">
                  <c:v>-148.6147784811634</c:v>
                </c:pt>
                <c:pt idx="253">
                  <c:v>-149.20003352532265</c:v>
                </c:pt>
                <c:pt idx="254">
                  <c:v>-149.77184509566641</c:v>
                </c:pt>
                <c:pt idx="255">
                  <c:v>-150.33059024542206</c:v>
                </c:pt>
                <c:pt idx="256">
                  <c:v>-150.87664024516397</c:v>
                </c:pt>
                <c:pt idx="257">
                  <c:v>-151.41035972979526</c:v>
                </c:pt>
                <c:pt idx="258">
                  <c:v>-151.9321060174762</c:v>
                </c:pt>
                <c:pt idx="259">
                  <c:v>-152.4422285761303</c:v>
                </c:pt>
                <c:pt idx="260">
                  <c:v>-152.94106861636962</c:v>
                </c:pt>
                <c:pt idx="261">
                  <c:v>-153.4289587924672</c:v>
                </c:pt>
                <c:pt idx="262">
                  <c:v>-153.90622299542983</c:v>
                </c:pt>
                <c:pt idx="263">
                  <c:v>-154.37317622432957</c:v>
                </c:pt>
                <c:pt idx="264">
                  <c:v>-154.83012452389053</c:v>
                </c:pt>
                <c:pt idx="265">
                  <c:v>-155.27736497792461</c:v>
                </c:pt>
                <c:pt idx="266">
                  <c:v>-155.71518574960047</c:v>
                </c:pt>
                <c:pt idx="267">
                  <c:v>-156.14386616074776</c:v>
                </c:pt>
                <c:pt idx="268">
                  <c:v>-156.56367680345051</c:v>
                </c:pt>
                <c:pt idx="269">
                  <c:v>-156.97487967810872</c:v>
                </c:pt>
                <c:pt idx="270">
                  <c:v>-157.3777283529482</c:v>
                </c:pt>
                <c:pt idx="271">
                  <c:v>-157.77246814065705</c:v>
                </c:pt>
                <c:pt idx="272">
                  <c:v>-158.1593362884384</c:v>
                </c:pt>
                <c:pt idx="273">
                  <c:v>-158.53856217829536</c:v>
                </c:pt>
                <c:pt idx="274">
                  <c:v>-158.91036753482877</c:v>
                </c:pt>
                <c:pt idx="275">
                  <c:v>-159.2749666382268</c:v>
                </c:pt>
                <c:pt idx="276">
                  <c:v>-159.63256654047444</c:v>
                </c:pt>
                <c:pt idx="277">
                  <c:v>-159.98336728311418</c:v>
                </c:pt>
                <c:pt idx="278">
                  <c:v>-160.32756211515078</c:v>
                </c:pt>
                <c:pt idx="279">
                  <c:v>-160.66533770992129</c:v>
                </c:pt>
                <c:pt idx="280">
                  <c:v>-160.99687437994757</c:v>
                </c:pt>
                <c:pt idx="281">
                  <c:v>-161.3223462889604</c:v>
                </c:pt>
                <c:pt idx="282">
                  <c:v>-161.64192166043028</c:v>
                </c:pt>
                <c:pt idx="283">
                  <c:v>-161.9557629820668</c:v>
                </c:pt>
                <c:pt idx="284">
                  <c:v>-162.26402720585929</c:v>
                </c:pt>
                <c:pt idx="285">
                  <c:v>-162.56686594332376</c:v>
                </c:pt>
                <c:pt idx="286">
                  <c:v>-162.86442565570164</c:v>
                </c:pt>
                <c:pt idx="287">
                  <c:v>-163.15684783892598</c:v>
                </c:pt>
                <c:pt idx="288">
                  <c:v>-163.44426920322826</c:v>
                </c:pt>
                <c:pt idx="289">
                  <c:v>-163.72682184730829</c:v>
                </c:pt>
                <c:pt idx="290">
                  <c:v>-164.00463342703395</c:v>
                </c:pt>
                <c:pt idx="291">
                  <c:v>-164.27782731867023</c:v>
                </c:pt>
                <c:pt idx="292">
                  <c:v>-164.54652277666887</c:v>
                </c:pt>
                <c:pt idx="293">
                  <c:v>-164.81083508607367</c:v>
                </c:pt>
                <c:pt idx="294">
                  <c:v>-165.07087570961704</c:v>
                </c:pt>
                <c:pt idx="295">
                  <c:v>-165.32675242960022</c:v>
                </c:pt>
                <c:pt idx="296">
                  <c:v>-165.57856948466235</c:v>
                </c:pt>
                <c:pt idx="297">
                  <c:v>-165.82642770155542</c:v>
                </c:pt>
                <c:pt idx="298">
                  <c:v>-166.07042462204956</c:v>
                </c:pt>
                <c:pt idx="299">
                  <c:v>-166.31065462509864</c:v>
                </c:pt>
                <c:pt idx="300">
                  <c:v>-166.54720904440296</c:v>
                </c:pt>
                <c:pt idx="301">
                  <c:v>-166.78017628150647</c:v>
                </c:pt>
                <c:pt idx="302">
                  <c:v>-167.00964191456839</c:v>
                </c:pt>
                <c:pt idx="303">
                  <c:v>-167.23568880295099</c:v>
                </c:pt>
                <c:pt idx="304">
                  <c:v>-167.45839718776298</c:v>
                </c:pt>
                <c:pt idx="305">
                  <c:v>-167.67784478849893</c:v>
                </c:pt>
                <c:pt idx="306">
                  <c:v>-167.8941068959121</c:v>
                </c:pt>
                <c:pt idx="307">
                  <c:v>-168.10725646125729</c:v>
                </c:pt>
                <c:pt idx="308">
                  <c:v>-168.31736418203602</c:v>
                </c:pt>
                <c:pt idx="309">
                  <c:v>-168.524498584376</c:v>
                </c:pt>
                <c:pt idx="310">
                  <c:v>-168.72872610217081</c:v>
                </c:pt>
                <c:pt idx="311">
                  <c:v>-168.93011115310514</c:v>
                </c:pt>
                <c:pt idx="312">
                  <c:v>-169.12871621168551</c:v>
                </c:pt>
                <c:pt idx="313">
                  <c:v>-169.32460187939373</c:v>
                </c:pt>
                <c:pt idx="314">
                  <c:v>-169.51782695207649</c:v>
                </c:pt>
                <c:pt idx="315">
                  <c:v>-169.70844848468107</c:v>
                </c:pt>
                <c:pt idx="316">
                  <c:v>-169.89652185344286</c:v>
                </c:pt>
                <c:pt idx="317">
                  <c:v>-170.08210081562697</c:v>
                </c:pt>
                <c:pt idx="318">
                  <c:v>-170.26523756692342</c:v>
                </c:pt>
                <c:pt idx="319">
                  <c:v>-170.44598279659024</c:v>
                </c:pt>
                <c:pt idx="320">
                  <c:v>-170.62438574043588</c:v>
                </c:pt>
                <c:pt idx="321">
                  <c:v>-170.80049423173037</c:v>
                </c:pt>
                <c:pt idx="322">
                  <c:v>-170.9743547501283</c:v>
                </c:pt>
                <c:pt idx="323">
                  <c:v>-171.14601246868614</c:v>
                </c:pt>
                <c:pt idx="324">
                  <c:v>-171.31551129905162</c:v>
                </c:pt>
                <c:pt idx="325">
                  <c:v>-171.48289393490043</c:v>
                </c:pt>
                <c:pt idx="326">
                  <c:v>-171.64820189369203</c:v>
                </c:pt>
                <c:pt idx="327">
                  <c:v>-171.81147555681403</c:v>
                </c:pt>
                <c:pt idx="328">
                  <c:v>-171.97275420818113</c:v>
                </c:pt>
                <c:pt idx="329">
                  <c:v>-172.1320760713522</c:v>
                </c:pt>
                <c:pt idx="330">
                  <c:v>-172.2894783452266</c:v>
                </c:pt>
                <c:pt idx="331">
                  <c:v>-172.44499723837777</c:v>
                </c:pt>
                <c:pt idx="332">
                  <c:v>-172.59866800208061</c:v>
                </c:pt>
                <c:pt idx="333">
                  <c:v>-172.75052496208508</c:v>
                </c:pt>
                <c:pt idx="334">
                  <c:v>-172.90060154918879</c:v>
                </c:pt>
                <c:pt idx="335">
                  <c:v>-173.04893032865667</c:v>
                </c:pt>
                <c:pt idx="336">
                  <c:v>-173.19554302853516</c:v>
                </c:pt>
                <c:pt idx="337">
                  <c:v>-173.34047056690565</c:v>
                </c:pt>
                <c:pt idx="338">
                  <c:v>-173.48374307812131</c:v>
                </c:pt>
                <c:pt idx="339">
                  <c:v>-173.62538993806697</c:v>
                </c:pt>
                <c:pt idx="340">
                  <c:v>-173.76543978848332</c:v>
                </c:pt>
                <c:pt idx="341">
                  <c:v>-173.90392056039195</c:v>
                </c:pt>
                <c:pt idx="342">
                  <c:v>-174.04085949665856</c:v>
                </c:pt>
                <c:pt idx="343">
                  <c:v>-174.17628317372794</c:v>
                </c:pt>
                <c:pt idx="344">
                  <c:v>-174.31021752256513</c:v>
                </c:pt>
                <c:pt idx="345">
                  <c:v>-174.44268784883349</c:v>
                </c:pt>
                <c:pt idx="346">
                  <c:v>-174.57371885234107</c:v>
                </c:pt>
                <c:pt idx="347">
                  <c:v>-174.70333464578363</c:v>
                </c:pt>
                <c:pt idx="348">
                  <c:v>-174.83155877281288</c:v>
                </c:pt>
                <c:pt idx="349">
                  <c:v>-174.95841422545647</c:v>
                </c:pt>
                <c:pt idx="350">
                  <c:v>-175.08392346091489</c:v>
                </c:pt>
                <c:pt idx="351">
                  <c:v>-175.20810841776085</c:v>
                </c:pt>
                <c:pt idx="352">
                  <c:v>-175.3309905315636</c:v>
                </c:pt>
                <c:pt idx="353">
                  <c:v>-175.45259074996113</c:v>
                </c:pt>
                <c:pt idx="354">
                  <c:v>-175.57292954720177</c:v>
                </c:pt>
                <c:pt idx="355">
                  <c:v>-175.6920269381763</c:v>
                </c:pt>
                <c:pt idx="356">
                  <c:v>-175.80990249195924</c:v>
                </c:pt>
                <c:pt idx="357">
                  <c:v>-175.92657534487935</c:v>
                </c:pt>
                <c:pt idx="358">
                  <c:v>-176.04206421313719</c:v>
                </c:pt>
                <c:pt idx="359">
                  <c:v>-176.15638740498696</c:v>
                </c:pt>
                <c:pt idx="360">
                  <c:v>-176.26956283249939</c:v>
                </c:pt>
                <c:pt idx="361">
                  <c:v>-176.38160802292177</c:v>
                </c:pt>
                <c:pt idx="362">
                  <c:v>-176.49254012965068</c:v>
                </c:pt>
                <c:pt idx="363">
                  <c:v>-176.60237594283149</c:v>
                </c:pt>
                <c:pt idx="364">
                  <c:v>-176.71113189959939</c:v>
                </c:pt>
                <c:pt idx="365">
                  <c:v>-176.81882409397522</c:v>
                </c:pt>
                <c:pt idx="366">
                  <c:v>-176.92546828642895</c:v>
                </c:pt>
                <c:pt idx="367">
                  <c:v>-177.03107991312342</c:v>
                </c:pt>
                <c:pt idx="368">
                  <c:v>-177.13567409485029</c:v>
                </c:pt>
                <c:pt idx="369">
                  <c:v>-177.23926564566972</c:v>
                </c:pt>
                <c:pt idx="370">
                  <c:v>-177.34186908126441</c:v>
                </c:pt>
                <c:pt idx="371">
                  <c:v>-177.44349862701893</c:v>
                </c:pt>
                <c:pt idx="372">
                  <c:v>-177.54416822583451</c:v>
                </c:pt>
                <c:pt idx="373">
                  <c:v>-177.64389154568855</c:v>
                </c:pt>
                <c:pt idx="374">
                  <c:v>-177.74268198694898</c:v>
                </c:pt>
                <c:pt idx="375">
                  <c:v>-177.8405526894513</c:v>
                </c:pt>
                <c:pt idx="376">
                  <c:v>-177.93751653934794</c:v>
                </c:pt>
                <c:pt idx="377">
                  <c:v>-178.03358617573801</c:v>
                </c:pt>
                <c:pt idx="378">
                  <c:v>-178.12877399708464</c:v>
                </c:pt>
                <c:pt idx="379">
                  <c:v>-178.22309216742872</c:v>
                </c:pt>
                <c:pt idx="380">
                  <c:v>-178.3165526224052</c:v>
                </c:pt>
                <c:pt idx="381">
                  <c:v>-178.40916707506989</c:v>
                </c:pt>
                <c:pt idx="382">
                  <c:v>-178.50094702154306</c:v>
                </c:pt>
                <c:pt idx="383">
                  <c:v>-178.59190374647636</c:v>
                </c:pt>
                <c:pt idx="384">
                  <c:v>-178.68204832834982</c:v>
                </c:pt>
                <c:pt idx="385">
                  <c:v>-178.77139164460394</c:v>
                </c:pt>
                <c:pt idx="386">
                  <c:v>-178.85994437661361</c:v>
                </c:pt>
                <c:pt idx="387">
                  <c:v>-178.94771701450932</c:v>
                </c:pt>
                <c:pt idx="388">
                  <c:v>-179.03471986185014</c:v>
                </c:pt>
                <c:pt idx="389">
                  <c:v>-179.12096304015463</c:v>
                </c:pt>
                <c:pt idx="390">
                  <c:v>-179.20645649329427</c:v>
                </c:pt>
                <c:pt idx="391">
                  <c:v>-179.29120999175387</c:v>
                </c:pt>
                <c:pt idx="392">
                  <c:v>-179.37523313676391</c:v>
                </c:pt>
                <c:pt idx="393">
                  <c:v>-179.45853536430917</c:v>
                </c:pt>
                <c:pt idx="394">
                  <c:v>-179.54112594901787</c:v>
                </c:pt>
                <c:pt idx="395">
                  <c:v>-179.6230140079349</c:v>
                </c:pt>
                <c:pt idx="396">
                  <c:v>-179.70420850418435</c:v>
                </c:pt>
                <c:pt idx="397">
                  <c:v>-179.78471825052347</c:v>
                </c:pt>
                <c:pt idx="398">
                  <c:v>-179.86455191279322</c:v>
                </c:pt>
                <c:pt idx="399">
                  <c:v>-179.94371801326753</c:v>
                </c:pt>
                <c:pt idx="400">
                  <c:v>-180.02222493390619</c:v>
                </c:pt>
                <c:pt idx="401">
                  <c:v>-180.10008091951298</c:v>
                </c:pt>
                <c:pt idx="402">
                  <c:v>-180.17729408080365</c:v>
                </c:pt>
                <c:pt idx="403">
                  <c:v>-180.25387239738569</c:v>
                </c:pt>
                <c:pt idx="404">
                  <c:v>-180.32982372065328</c:v>
                </c:pt>
                <c:pt idx="405">
                  <c:v>-180.40515577660045</c:v>
                </c:pt>
                <c:pt idx="406">
                  <c:v>-180.47987616855454</c:v>
                </c:pt>
                <c:pt idx="407">
                  <c:v>-180.55399237983298</c:v>
                </c:pt>
                <c:pt idx="408">
                  <c:v>-180.62751177632589</c:v>
                </c:pt>
                <c:pt idx="409">
                  <c:v>-180.70044160900702</c:v>
                </c:pt>
                <c:pt idx="410">
                  <c:v>-180.77278901637462</c:v>
                </c:pt>
                <c:pt idx="411">
                  <c:v>-180.84456102682586</c:v>
                </c:pt>
                <c:pt idx="412">
                  <c:v>-180.91576456096539</c:v>
                </c:pt>
                <c:pt idx="413">
                  <c:v>-180.98640643385167</c:v>
                </c:pt>
                <c:pt idx="414">
                  <c:v>-181.05649335718161</c:v>
                </c:pt>
                <c:pt idx="415">
                  <c:v>-181.1260319414169</c:v>
                </c:pt>
                <c:pt idx="416">
                  <c:v>-181.19502869785268</c:v>
                </c:pt>
                <c:pt idx="417">
                  <c:v>-181.26349004063104</c:v>
                </c:pt>
                <c:pt idx="418">
                  <c:v>-181.33142228870133</c:v>
                </c:pt>
                <c:pt idx="419">
                  <c:v>-181.39883166772793</c:v>
                </c:pt>
                <c:pt idx="420">
                  <c:v>-181.46572431194835</c:v>
                </c:pt>
                <c:pt idx="421">
                  <c:v>-181.53210626598224</c:v>
                </c:pt>
                <c:pt idx="422">
                  <c:v>-181.59798348659393</c:v>
                </c:pt>
                <c:pt idx="423">
                  <c:v>-181.66336184440809</c:v>
                </c:pt>
                <c:pt idx="424">
                  <c:v>-181.72824712558241</c:v>
                </c:pt>
                <c:pt idx="425">
                  <c:v>-181.79264503343657</c:v>
                </c:pt>
                <c:pt idx="426">
                  <c:v>-181.85656119003988</c:v>
                </c:pt>
                <c:pt idx="427">
                  <c:v>-181.92000113775887</c:v>
                </c:pt>
                <c:pt idx="428">
                  <c:v>-181.98297034076515</c:v>
                </c:pt>
                <c:pt idx="429">
                  <c:v>-182.045474186506</c:v>
                </c:pt>
                <c:pt idx="430">
                  <c:v>-182.10751798713807</c:v>
                </c:pt>
                <c:pt idx="431">
                  <c:v>-182.16910698092539</c:v>
                </c:pt>
                <c:pt idx="432">
                  <c:v>-182.23024633360274</c:v>
                </c:pt>
                <c:pt idx="433">
                  <c:v>-182.29094113970578</c:v>
                </c:pt>
                <c:pt idx="434">
                  <c:v>-182.35119642386829</c:v>
                </c:pt>
                <c:pt idx="435">
                  <c:v>-182.41101714208858</c:v>
                </c:pt>
                <c:pt idx="436">
                  <c:v>-182.47040818296412</c:v>
                </c:pt>
                <c:pt idx="437">
                  <c:v>-182.52937436889783</c:v>
                </c:pt>
                <c:pt idx="438">
                  <c:v>-182.58792045727461</c:v>
                </c:pt>
                <c:pt idx="439">
                  <c:v>-182.64605114161012</c:v>
                </c:pt>
                <c:pt idx="440">
                  <c:v>-182.70377105267255</c:v>
                </c:pt>
                <c:pt idx="441">
                  <c:v>-182.76108475957804</c:v>
                </c:pt>
                <c:pt idx="442">
                  <c:v>-182.81799677086025</c:v>
                </c:pt>
                <c:pt idx="443">
                  <c:v>-182.87451153551535</c:v>
                </c:pt>
                <c:pt idx="444">
                  <c:v>-182.93063344402276</c:v>
                </c:pt>
                <c:pt idx="445">
                  <c:v>-182.98636682934227</c:v>
                </c:pt>
                <c:pt idx="446">
                  <c:v>-183.04171596788868</c:v>
                </c:pt>
                <c:pt idx="447">
                  <c:v>-183.09668508048426</c:v>
                </c:pt>
                <c:pt idx="448">
                  <c:v>-183.15127833328941</c:v>
                </c:pt>
                <c:pt idx="449">
                  <c:v>-183.2054998387128</c:v>
                </c:pt>
                <c:pt idx="450">
                  <c:v>-183.25935365630102</c:v>
                </c:pt>
                <c:pt idx="451">
                  <c:v>-183.31284379360844</c:v>
                </c:pt>
                <c:pt idx="452">
                  <c:v>-183.36597420704805</c:v>
                </c:pt>
                <c:pt idx="453">
                  <c:v>-183.41874880272351</c:v>
                </c:pt>
                <c:pt idx="454">
                  <c:v>-183.47117143724319</c:v>
                </c:pt>
                <c:pt idx="455">
                  <c:v>-183.52324591851641</c:v>
                </c:pt>
                <c:pt idx="456">
                  <c:v>-183.57497600653258</c:v>
                </c:pt>
                <c:pt idx="457">
                  <c:v>-183.62636541412382</c:v>
                </c:pt>
                <c:pt idx="458">
                  <c:v>-183.67741780771118</c:v>
                </c:pt>
                <c:pt idx="459">
                  <c:v>-183.72813680803506</c:v>
                </c:pt>
                <c:pt idx="460">
                  <c:v>-183.77852599087032</c:v>
                </c:pt>
                <c:pt idx="461">
                  <c:v>-183.82858888772643</c:v>
                </c:pt>
                <c:pt idx="462">
                  <c:v>-183.87832898653329</c:v>
                </c:pt>
                <c:pt idx="463">
                  <c:v>-183.92774973231224</c:v>
                </c:pt>
                <c:pt idx="464">
                  <c:v>-183.97685452783409</c:v>
                </c:pt>
                <c:pt idx="465">
                  <c:v>-184.02564673426335</c:v>
                </c:pt>
                <c:pt idx="466">
                  <c:v>-184.074129671789</c:v>
                </c:pt>
                <c:pt idx="467">
                  <c:v>-184.12230662024331</c:v>
                </c:pt>
                <c:pt idx="468">
                  <c:v>-184.17018081970775</c:v>
                </c:pt>
                <c:pt idx="469">
                  <c:v>-184.2177554711069</c:v>
                </c:pt>
                <c:pt idx="470">
                  <c:v>-184.26503373679077</c:v>
                </c:pt>
                <c:pt idx="471">
                  <c:v>-184.31201874110519</c:v>
                </c:pt>
                <c:pt idx="472">
                  <c:v>-184.35871357095181</c:v>
                </c:pt>
                <c:pt idx="473">
                  <c:v>-184.40512127633647</c:v>
                </c:pt>
                <c:pt idx="474">
                  <c:v>-184.45124487090732</c:v>
                </c:pt>
                <c:pt idx="475">
                  <c:v>-184.49708733248252</c:v>
                </c:pt>
                <c:pt idx="476">
                  <c:v>-184.54265160356795</c:v>
                </c:pt>
                <c:pt idx="477">
                  <c:v>-184.58794059186485</c:v>
                </c:pt>
                <c:pt idx="478">
                  <c:v>-184.63295717076826</c:v>
                </c:pt>
                <c:pt idx="479">
                  <c:v>-184.67770417985562</c:v>
                </c:pt>
                <c:pt idx="480">
                  <c:v>-184.72218442536658</c:v>
                </c:pt>
                <c:pt idx="481">
                  <c:v>-184.76640068067397</c:v>
                </c:pt>
                <c:pt idx="482">
                  <c:v>-184.81035568674568</c:v>
                </c:pt>
                <c:pt idx="483">
                  <c:v>-184.85405215259863</c:v>
                </c:pt>
                <c:pt idx="484">
                  <c:v>-184.89749275574388</c:v>
                </c:pt>
                <c:pt idx="485">
                  <c:v>-184.94068014262427</c:v>
                </c:pt>
                <c:pt idx="486">
                  <c:v>-184.98361692904368</c:v>
                </c:pt>
                <c:pt idx="487">
                  <c:v>-185.02630570058872</c:v>
                </c:pt>
                <c:pt idx="488">
                  <c:v>-185.0687490130432</c:v>
                </c:pt>
                <c:pt idx="489">
                  <c:v>-185.11094939279488</c:v>
                </c:pt>
                <c:pt idx="490">
                  <c:v>-185.15290933723549</c:v>
                </c:pt>
                <c:pt idx="491">
                  <c:v>-185.19463131515298</c:v>
                </c:pt>
                <c:pt idx="492">
                  <c:v>-185.23611776711803</c:v>
                </c:pt>
                <c:pt idx="493">
                  <c:v>-185.27737110586295</c:v>
                </c:pt>
                <c:pt idx="494">
                  <c:v>-185.31839371665447</c:v>
                </c:pt>
                <c:pt idx="495">
                  <c:v>-185.35918795766011</c:v>
                </c:pt>
                <c:pt idx="496">
                  <c:v>-185.39975616030827</c:v>
                </c:pt>
                <c:pt idx="497">
                  <c:v>-185.44010062964244</c:v>
                </c:pt>
                <c:pt idx="498">
                  <c:v>-185.4802236446688</c:v>
                </c:pt>
                <c:pt idx="499">
                  <c:v>-185.52012745869902</c:v>
                </c:pt>
                <c:pt idx="500">
                  <c:v>-185.55981429968648</c:v>
                </c:pt>
                <c:pt idx="501">
                  <c:v>-185.59928637055711</c:v>
                </c:pt>
                <c:pt idx="502">
                  <c:v>-185.63854584953543</c:v>
                </c:pt>
                <c:pt idx="503">
                  <c:v>-185.67759489046429</c:v>
                </c:pt>
                <c:pt idx="504">
                  <c:v>-185.71643562311996</c:v>
                </c:pt>
                <c:pt idx="505">
                  <c:v>-185.75507015352213</c:v>
                </c:pt>
                <c:pt idx="506">
                  <c:v>-185.79350056423866</c:v>
                </c:pt>
                <c:pt idx="507">
                  <c:v>-185.83172891468564</c:v>
                </c:pt>
                <c:pt idx="508">
                  <c:v>-185.86975724142269</c:v>
                </c:pt>
                <c:pt idx="509">
                  <c:v>-185.90758755844325</c:v>
                </c:pt>
                <c:pt idx="510">
                  <c:v>-185.94522185746092</c:v>
                </c:pt>
                <c:pt idx="511">
                  <c:v>-185.98266210819048</c:v>
                </c:pt>
                <c:pt idx="512">
                  <c:v>-186.01991025862526</c:v>
                </c:pt>
                <c:pt idx="513">
                  <c:v>-186.05696823530974</c:v>
                </c:pt>
                <c:pt idx="514">
                  <c:v>-186.09383794360818</c:v>
                </c:pt>
                <c:pt idx="515">
                  <c:v>-186.13052126796899</c:v>
                </c:pt>
                <c:pt idx="516">
                  <c:v>-186.16702007218507</c:v>
                </c:pt>
                <c:pt idx="517">
                  <c:v>-186.20333619965015</c:v>
                </c:pt>
                <c:pt idx="518">
                  <c:v>-186.23947147361139</c:v>
                </c:pt>
                <c:pt idx="519">
                  <c:v>-186.27542769741805</c:v>
                </c:pt>
                <c:pt idx="520">
                  <c:v>-186.31120665476624</c:v>
                </c:pt>
                <c:pt idx="521">
                  <c:v>-186.34681010994061</c:v>
                </c:pt>
                <c:pt idx="522">
                  <c:v>-186.38223980805162</c:v>
                </c:pt>
                <c:pt idx="523">
                  <c:v>-186.4174974752699</c:v>
                </c:pt>
                <c:pt idx="524">
                  <c:v>-186.45258481905702</c:v>
                </c:pt>
                <c:pt idx="525">
                  <c:v>-186.48750352839278</c:v>
                </c:pt>
                <c:pt idx="526">
                  <c:v>-186.52225527399904</c:v>
                </c:pt>
                <c:pt idx="527">
                  <c:v>-186.55684170856077</c:v>
                </c:pt>
                <c:pt idx="528">
                  <c:v>-186.5912644669435</c:v>
                </c:pt>
                <c:pt idx="529">
                  <c:v>-186.62552516640747</c:v>
                </c:pt>
                <c:pt idx="530">
                  <c:v>-186.65962540681937</c:v>
                </c:pt>
                <c:pt idx="531">
                  <c:v>-186.69356677086023</c:v>
                </c:pt>
                <c:pt idx="532">
                  <c:v>-186.72735082423128</c:v>
                </c:pt>
                <c:pt idx="533">
                  <c:v>-186.7609791158558</c:v>
                </c:pt>
                <c:pt idx="534">
                  <c:v>-186.7944531780791</c:v>
                </c:pt>
                <c:pt idx="535">
                  <c:v>-186.82777452686508</c:v>
                </c:pt>
                <c:pt idx="536">
                  <c:v>-186.86094466199035</c:v>
                </c:pt>
                <c:pt idx="537">
                  <c:v>-186.8939650672354</c:v>
                </c:pt>
                <c:pt idx="538">
                  <c:v>-186.92683721057335</c:v>
                </c:pt>
                <c:pt idx="539">
                  <c:v>-186.95956254435592</c:v>
                </c:pt>
                <c:pt idx="540">
                  <c:v>-186.99214250549687</c:v>
                </c:pt>
                <c:pt idx="541">
                  <c:v>-187.02457851565299</c:v>
                </c:pt>
                <c:pt idx="542">
                  <c:v>-187.05687198140248</c:v>
                </c:pt>
                <c:pt idx="543">
                  <c:v>-187.08902429442102</c:v>
                </c:pt>
                <c:pt idx="544">
                  <c:v>-187.12103683165552</c:v>
                </c:pt>
                <c:pt idx="545">
                  <c:v>-187.15291095549506</c:v>
                </c:pt>
                <c:pt idx="546">
                  <c:v>-187.18464801394029</c:v>
                </c:pt>
                <c:pt idx="547">
                  <c:v>-187.21624934076979</c:v>
                </c:pt>
                <c:pt idx="548">
                  <c:v>-187.24771625570472</c:v>
                </c:pt>
                <c:pt idx="549">
                  <c:v>-187.27905006457092</c:v>
                </c:pt>
                <c:pt idx="550">
                  <c:v>-187.31025205945932</c:v>
                </c:pt>
                <c:pt idx="551">
                  <c:v>-187.34132351888354</c:v>
                </c:pt>
                <c:pt idx="552">
                  <c:v>-187.37226570793601</c:v>
                </c:pt>
                <c:pt idx="553">
                  <c:v>-187.4030798784419</c:v>
                </c:pt>
                <c:pt idx="554">
                  <c:v>-187.43376726911058</c:v>
                </c:pt>
                <c:pt idx="555">
                  <c:v>-187.46432910568586</c:v>
                </c:pt>
                <c:pt idx="556">
                  <c:v>-187.49476660109383</c:v>
                </c:pt>
                <c:pt idx="557">
                  <c:v>-187.52508095558821</c:v>
                </c:pt>
                <c:pt idx="558">
                  <c:v>-187.5552733568955</c:v>
                </c:pt>
                <c:pt idx="559">
                  <c:v>-187.58534498035593</c:v>
                </c:pt>
                <c:pt idx="560">
                  <c:v>-187.61529698906492</c:v>
                </c:pt>
                <c:pt idx="561">
                  <c:v>-187.64513053401097</c:v>
                </c:pt>
                <c:pt idx="562">
                  <c:v>-187.67484675421272</c:v>
                </c:pt>
                <c:pt idx="563">
                  <c:v>-187.70444677685387</c:v>
                </c:pt>
                <c:pt idx="564">
                  <c:v>-187.73393171741645</c:v>
                </c:pt>
                <c:pt idx="565">
                  <c:v>-187.76330267981274</c:v>
                </c:pt>
                <c:pt idx="566">
                  <c:v>-187.79256075651489</c:v>
                </c:pt>
                <c:pt idx="567">
                  <c:v>-187.82170702868328</c:v>
                </c:pt>
                <c:pt idx="568">
                  <c:v>-187.85074256629335</c:v>
                </c:pt>
                <c:pt idx="569">
                  <c:v>-187.87966842826071</c:v>
                </c:pt>
                <c:pt idx="570">
                  <c:v>-187.90848566256452</c:v>
                </c:pt>
                <c:pt idx="571">
                  <c:v>-187.93719530636946</c:v>
                </c:pt>
                <c:pt idx="572">
                  <c:v>-187.96579838614647</c:v>
                </c:pt>
                <c:pt idx="573">
                  <c:v>-187.99429591779148</c:v>
                </c:pt>
                <c:pt idx="574">
                  <c:v>-188.02268890674267</c:v>
                </c:pt>
                <c:pt idx="575">
                  <c:v>-188.05097834809729</c:v>
                </c:pt>
                <c:pt idx="576">
                  <c:v>-188.07916522672519</c:v>
                </c:pt>
                <c:pt idx="577">
                  <c:v>-188.10725051738299</c:v>
                </c:pt>
                <c:pt idx="578">
                  <c:v>-188.13523518482523</c:v>
                </c:pt>
                <c:pt idx="579">
                  <c:v>-188.163120183915</c:v>
                </c:pt>
                <c:pt idx="580">
                  <c:v>-188.19090645973318</c:v>
                </c:pt>
                <c:pt idx="581">
                  <c:v>-188.2185949476858</c:v>
                </c:pt>
                <c:pt idx="582">
                  <c:v>-188.24618657361091</c:v>
                </c:pt>
                <c:pt idx="583">
                  <c:v>-188.27368225388329</c:v>
                </c:pt>
                <c:pt idx="584">
                  <c:v>-188.30108289551856</c:v>
                </c:pt>
                <c:pt idx="585">
                  <c:v>-188.32838939627575</c:v>
                </c:pt>
                <c:pt idx="586">
                  <c:v>-188.35560264475862</c:v>
                </c:pt>
                <c:pt idx="587">
                  <c:v>-188.38272352051575</c:v>
                </c:pt>
                <c:pt idx="588">
                  <c:v>-188.40975289413956</c:v>
                </c:pt>
                <c:pt idx="589">
                  <c:v>-188.43669162736393</c:v>
                </c:pt>
                <c:pt idx="590">
                  <c:v>-188.46354057316103</c:v>
                </c:pt>
                <c:pt idx="591">
                  <c:v>-188.49030057583633</c:v>
                </c:pt>
                <c:pt idx="592">
                  <c:v>-188.51697247112327</c:v>
                </c:pt>
                <c:pt idx="593">
                  <c:v>-188.54355708627614</c:v>
                </c:pt>
                <c:pt idx="594">
                  <c:v>-188.57005524016228</c:v>
                </c:pt>
                <c:pt idx="595">
                  <c:v>-188.59646774335292</c:v>
                </c:pt>
                <c:pt idx="596">
                  <c:v>-188.62279539821316</c:v>
                </c:pt>
                <c:pt idx="597">
                  <c:v>-188.64903899899065</c:v>
                </c:pt>
                <c:pt idx="598">
                  <c:v>-188.67519933190346</c:v>
                </c:pt>
                <c:pt idx="599">
                  <c:v>-188.70127717522678</c:v>
                </c:pt>
                <c:pt idx="600">
                  <c:v>-188.72727329937854</c:v>
                </c:pt>
                <c:pt idx="601">
                  <c:v>-188.75318846700424</c:v>
                </c:pt>
                <c:pt idx="602">
                  <c:v>-188.77902343306053</c:v>
                </c:pt>
                <c:pt idx="603">
                  <c:v>-188.804778944898</c:v>
                </c:pt>
                <c:pt idx="604">
                  <c:v>-188.83045574234291</c:v>
                </c:pt>
                <c:pt idx="605">
                  <c:v>-188.85605455777801</c:v>
                </c:pt>
                <c:pt idx="606">
                  <c:v>-190.05080478923804</c:v>
                </c:pt>
                <c:pt idx="607">
                  <c:v>-191.12111844378364</c:v>
                </c:pt>
                <c:pt idx="608">
                  <c:v>-192.11135236309369</c:v>
                </c:pt>
                <c:pt idx="609">
                  <c:v>-193.04898617677637</c:v>
                </c:pt>
                <c:pt idx="610">
                  <c:v>-193.95122447177138</c:v>
                </c:pt>
                <c:pt idx="611">
                  <c:v>-194.82892145579916</c:v>
                </c:pt>
                <c:pt idx="612">
                  <c:v>-195.68895115834977</c:v>
                </c:pt>
                <c:pt idx="613">
                  <c:v>-196.53566092205051</c:v>
                </c:pt>
                <c:pt idx="614">
                  <c:v>-197.37177615975628</c:v>
                </c:pt>
                <c:pt idx="615">
                  <c:v>-198.198971719822</c:v>
                </c:pt>
                <c:pt idx="616">
                  <c:v>-199.01823767097167</c:v>
                </c:pt>
                <c:pt idx="617">
                  <c:v>-199.83011646242267</c:v>
                </c:pt>
                <c:pt idx="618">
                  <c:v>-200.2055984035475</c:v>
                </c:pt>
                <c:pt idx="619">
                  <c:v>-200.57803598311355</c:v>
                </c:pt>
                <c:pt idx="620">
                  <c:v>-200.94756193403322</c:v>
                </c:pt>
                <c:pt idx="621">
                  <c:v>-201.31429447826363</c:v>
                </c:pt>
                <c:pt idx="622">
                  <c:v>-201.6783390385938</c:v>
                </c:pt>
                <c:pt idx="623">
                  <c:v>-202.03978973143833</c:v>
                </c:pt>
                <c:pt idx="624">
                  <c:v>-202.39873067139789</c:v>
                </c:pt>
                <c:pt idx="625">
                  <c:v>-202.75523711364849</c:v>
                </c:pt>
                <c:pt idx="626">
                  <c:v>-203.1093764562921</c:v>
                </c:pt>
                <c:pt idx="627">
                  <c:v>-203.46120912151284</c:v>
                </c:pt>
                <c:pt idx="628">
                  <c:v>-203.8107893316182</c:v>
                </c:pt>
                <c:pt idx="629">
                  <c:v>-204.15816579371801</c:v>
                </c:pt>
                <c:pt idx="630">
                  <c:v>-204.50338230483075</c:v>
                </c:pt>
                <c:pt idx="631">
                  <c:v>-204.8464782875443</c:v>
                </c:pt>
                <c:pt idx="632">
                  <c:v>-205.18748926495138</c:v>
                </c:pt>
                <c:pt idx="633">
                  <c:v>-205.52644728238101</c:v>
                </c:pt>
                <c:pt idx="634">
                  <c:v>-205.8633812824294</c:v>
                </c:pt>
                <c:pt idx="635">
                  <c:v>-206.19831743892323</c:v>
                </c:pt>
                <c:pt idx="636">
                  <c:v>-206.53127945470399</c:v>
                </c:pt>
                <c:pt idx="637">
                  <c:v>-206.86228882748463</c:v>
                </c:pt>
                <c:pt idx="638">
                  <c:v>-207.19136508748306</c:v>
                </c:pt>
                <c:pt idx="639">
                  <c:v>-207.51852601006348</c:v>
                </c:pt>
                <c:pt idx="640">
                  <c:v>-207.84378780621446</c:v>
                </c:pt>
                <c:pt idx="641">
                  <c:v>-208.16716529333783</c:v>
                </c:pt>
                <c:pt idx="642">
                  <c:v>-208.48867204852169</c:v>
                </c:pt>
                <c:pt idx="643">
                  <c:v>-208.80832054620757</c:v>
                </c:pt>
                <c:pt idx="644">
                  <c:v>-209.12612228193188</c:v>
                </c:pt>
                <c:pt idx="645">
                  <c:v>-209.44208788362528</c:v>
                </c:pt>
                <c:pt idx="646">
                  <c:v>-209.75622721177862</c:v>
                </c:pt>
                <c:pt idx="647">
                  <c:v>-210.06854944963487</c:v>
                </c:pt>
                <c:pt idx="648">
                  <c:v>-210.37906318443268</c:v>
                </c:pt>
                <c:pt idx="649">
                  <c:v>-210.687776480613</c:v>
                </c:pt>
                <c:pt idx="650">
                  <c:v>-210.99469694579813</c:v>
                </c:pt>
                <c:pt idx="651">
                  <c:v>-211.29983179026399</c:v>
                </c:pt>
                <c:pt idx="652">
                  <c:v>-211.6031878805469</c:v>
                </c:pt>
                <c:pt idx="653">
                  <c:v>-211.90477178775967</c:v>
                </c:pt>
                <c:pt idx="654">
                  <c:v>-212.20458983112766</c:v>
                </c:pt>
                <c:pt idx="655">
                  <c:v>-212.50264811720456</c:v>
                </c:pt>
                <c:pt idx="656">
                  <c:v>-212.79895257517845</c:v>
                </c:pt>
                <c:pt idx="657">
                  <c:v>-213.09350898863673</c:v>
                </c:pt>
                <c:pt idx="658">
                  <c:v>-213.38632302412188</c:v>
                </c:pt>
                <c:pt idx="659">
                  <c:v>-213.67740025677605</c:v>
                </c:pt>
                <c:pt idx="660">
                  <c:v>-213.96674619334249</c:v>
                </c:pt>
                <c:pt idx="661">
                  <c:v>-214.25436629276703</c:v>
                </c:pt>
                <c:pt idx="662">
                  <c:v>-214.54026598461809</c:v>
                </c:pt>
                <c:pt idx="663">
                  <c:v>-214.8244506855219</c:v>
                </c:pt>
                <c:pt idx="664">
                  <c:v>-215.10692581379402</c:v>
                </c:pt>
                <c:pt idx="665">
                  <c:v>-215.38769680242734</c:v>
                </c:pt>
                <c:pt idx="666">
                  <c:v>-215.66676911058443</c:v>
                </c:pt>
                <c:pt idx="667">
                  <c:v>-215.94414823372813</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28</c:v>
                </c:pt>
                <c:pt idx="1">
                  <c:v>28</c:v>
                </c:pt>
              </c:numCache>
            </c:numRef>
          </c:xVal>
          <c:yVal>
            <c:numRef>
              <c:f>'Bode Plots Calculations'!$BG$690:$BG$691</c:f>
              <c:numCache>
                <c:formatCode>General</c:formatCode>
                <c:ptCount val="2"/>
                <c:pt idx="0">
                  <c:v>-116.91194563506176</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28</c:v>
                </c:pt>
                <c:pt idx="1">
                  <c:v>1000</c:v>
                </c:pt>
              </c:numCache>
            </c:numRef>
          </c:xVal>
          <c:yVal>
            <c:numRef>
              <c:f>'Bode Plots Calculations'!$BG$688:$BG$689</c:f>
              <c:numCache>
                <c:formatCode>General</c:formatCode>
                <c:ptCount val="2"/>
                <c:pt idx="0">
                  <c:v>-116.91194563506176</c:v>
                </c:pt>
                <c:pt idx="1">
                  <c:v>-116.91194563506176</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cat>
          <c:val>
            <c:numRef>
              <c:f>'Power Calculations'!$AU$9:$AU$209</c:f>
              <c:numCache>
                <c:formatCode>General</c:formatCode>
                <c:ptCount val="201"/>
                <c:pt idx="0">
                  <c:v>0</c:v>
                </c:pt>
                <c:pt idx="1">
                  <c:v>46.314274926097518</c:v>
                </c:pt>
                <c:pt idx="2">
                  <c:v>63.267937745199873</c:v>
                </c:pt>
                <c:pt idx="3">
                  <c:v>72.052492013029777</c:v>
                </c:pt>
                <c:pt idx="4">
                  <c:v>77.420674192028699</c:v>
                </c:pt>
                <c:pt idx="5">
                  <c:v>81.037258455880163</c:v>
                </c:pt>
                <c:pt idx="6">
                  <c:v>83.636518461018412</c:v>
                </c:pt>
                <c:pt idx="7">
                  <c:v>85.592633701943569</c:v>
                </c:pt>
                <c:pt idx="8">
                  <c:v>87.11632322726453</c:v>
                </c:pt>
                <c:pt idx="9">
                  <c:v>88.335316728112687</c:v>
                </c:pt>
                <c:pt idx="10">
                  <c:v>89.331547913192949</c:v>
                </c:pt>
                <c:pt idx="11">
                  <c:v>90.159990561172236</c:v>
                </c:pt>
                <c:pt idx="12">
                  <c:v>90.85890440330391</c:v>
                </c:pt>
                <c:pt idx="13">
                  <c:v>91.455738447900913</c:v>
                </c:pt>
                <c:pt idx="14">
                  <c:v>91.970697352588843</c:v>
                </c:pt>
                <c:pt idx="15">
                  <c:v>92.418983359143752</c:v>
                </c:pt>
                <c:pt idx="16">
                  <c:v>92.812254173735596</c:v>
                </c:pt>
                <c:pt idx="17">
                  <c:v>93.159599075015691</c:v>
                </c:pt>
                <c:pt idx="18">
                  <c:v>93.468209295269546</c:v>
                </c:pt>
                <c:pt idx="19">
                  <c:v>93.743848848409755</c:v>
                </c:pt>
                <c:pt idx="20">
                  <c:v>93.991191830572134</c:v>
                </c:pt>
                <c:pt idx="21">
                  <c:v>94.214068379266507</c:v>
                </c:pt>
                <c:pt idx="22">
                  <c:v>94.415646902807609</c:v>
                </c:pt>
                <c:pt idx="23">
                  <c:v>94.598571047461419</c:v>
                </c:pt>
                <c:pt idx="24">
                  <c:v>94.765063996918286</c:v>
                </c:pt>
                <c:pt idx="25">
                  <c:v>94.917008846623204</c:v>
                </c:pt>
                <c:pt idx="26">
                  <c:v>95.056011220037647</c:v>
                </c:pt>
                <c:pt idx="27">
                  <c:v>95.18344854167951</c:v>
                </c:pt>
                <c:pt idx="28">
                  <c:v>95.300509170433941</c:v>
                </c:pt>
                <c:pt idx="29">
                  <c:v>95.408223746795883</c:v>
                </c:pt>
                <c:pt idx="30">
                  <c:v>95.441786932014679</c:v>
                </c:pt>
                <c:pt idx="31">
                  <c:v>95.427909917933022</c:v>
                </c:pt>
                <c:pt idx="32">
                  <c:v>95.413443153693038</c:v>
                </c:pt>
                <c:pt idx="33">
                  <c:v>95.401934112268805</c:v>
                </c:pt>
                <c:pt idx="34">
                  <c:v>95.474885740238392</c:v>
                </c:pt>
                <c:pt idx="35">
                  <c:v>95.542472078829306</c:v>
                </c:pt>
                <c:pt idx="36">
                  <c:v>95.605124019957827</c:v>
                </c:pt>
                <c:pt idx="37">
                  <c:v>95.663227221464481</c:v>
                </c:pt>
                <c:pt idx="38">
                  <c:v>95.71712788137819</c:v>
                </c:pt>
                <c:pt idx="39">
                  <c:v>95.767137649622541</c:v>
                </c:pt>
                <c:pt idx="40">
                  <c:v>95.813537823833514</c:v>
                </c:pt>
                <c:pt idx="41">
                  <c:v>95.856582948131731</c:v>
                </c:pt>
                <c:pt idx="42">
                  <c:v>95.896503911667736</c:v>
                </c:pt>
                <c:pt idx="43">
                  <c:v>95.93351062622088</c:v>
                </c:pt>
                <c:pt idx="44">
                  <c:v>95.967794348091005</c:v>
                </c:pt>
                <c:pt idx="45">
                  <c:v>95.999529698216818</c:v>
                </c:pt>
                <c:pt idx="46">
                  <c:v>96.028876425306692</c:v>
                </c:pt>
                <c:pt idx="47">
                  <c:v>96.055980949329651</c:v>
                </c:pt>
                <c:pt idx="48">
                  <c:v>96.080977716637307</c:v>
                </c:pt>
                <c:pt idx="49">
                  <c:v>96.103990393000416</c:v>
                </c:pt>
                <c:pt idx="50">
                  <c:v>96.125132916734728</c:v>
                </c:pt>
                <c:pt idx="51">
                  <c:v>96.144510430689849</c:v>
                </c:pt>
                <c:pt idx="52">
                  <c:v>96.16222010905004</c:v>
                </c:pt>
                <c:pt idx="53">
                  <c:v>96.178351892540576</c:v>
                </c:pt>
                <c:pt idx="54">
                  <c:v>96.192989143661592</c:v>
                </c:pt>
                <c:pt idx="55">
                  <c:v>96.206209231916262</c:v>
                </c:pt>
                <c:pt idx="56">
                  <c:v>96.218084057605353</c:v>
                </c:pt>
                <c:pt idx="57">
                  <c:v>96.228680521581111</c:v>
                </c:pt>
                <c:pt idx="58">
                  <c:v>96.238060947354086</c:v>
                </c:pt>
                <c:pt idx="59">
                  <c:v>96.246283461095857</c:v>
                </c:pt>
                <c:pt idx="60">
                  <c:v>96.25340233435638</c:v>
                </c:pt>
                <c:pt idx="61">
                  <c:v>96.2594682936938</c:v>
                </c:pt>
                <c:pt idx="62">
                  <c:v>96.264528800883681</c:v>
                </c:pt>
                <c:pt idx="63">
                  <c:v>96.268628306916611</c:v>
                </c:pt>
                <c:pt idx="64">
                  <c:v>96.271808482600036</c:v>
                </c:pt>
                <c:pt idx="65">
                  <c:v>96.274108428238975</c:v>
                </c:pt>
                <c:pt idx="66">
                  <c:v>96.275564864576069</c:v>
                </c:pt>
                <c:pt idx="67">
                  <c:v>96.27621230691507</c:v>
                </c:pt>
                <c:pt idx="68">
                  <c:v>96.276083224129863</c:v>
                </c:pt>
                <c:pt idx="69">
                  <c:v>96.275208184066301</c:v>
                </c:pt>
                <c:pt idx="70">
                  <c:v>96.273615986675622</c:v>
                </c:pt>
                <c:pt idx="71">
                  <c:v>96.271333786068823</c:v>
                </c:pt>
                <c:pt idx="72">
                  <c:v>96.268387202552134</c:v>
                </c:pt>
                <c:pt idx="73">
                  <c:v>96.264800425588845</c:v>
                </c:pt>
                <c:pt idx="74">
                  <c:v>96.260596308532499</c:v>
                </c:pt>
                <c:pt idx="75">
                  <c:v>96.255796455887378</c:v>
                </c:pt>
                <c:pt idx="76">
                  <c:v>96.250421303774019</c:v>
                </c:pt>
                <c:pt idx="77">
                  <c:v>96.244490194208211</c:v>
                </c:pt>
                <c:pt idx="78">
                  <c:v>96.238021443740195</c:v>
                </c:pt>
                <c:pt idx="79">
                  <c:v>96.231032406946454</c:v>
                </c:pt>
                <c:pt idx="80">
                  <c:v>96.223539535217739</c:v>
                </c:pt>
                <c:pt idx="81">
                  <c:v>96.215558431244062</c:v>
                </c:pt>
                <c:pt idx="82">
                  <c:v>96.207103899558419</c:v>
                </c:pt>
                <c:pt idx="83">
                  <c:v>96.198189993467082</c:v>
                </c:pt>
                <c:pt idx="84">
                  <c:v>96.188830058663072</c:v>
                </c:pt>
                <c:pt idx="85">
                  <c:v>96.17903677379239</c:v>
                </c:pt>
                <c:pt idx="86">
                  <c:v>96.16882218821705</c:v>
                </c:pt>
                <c:pt idx="87">
                  <c:v>96.158197757197783</c:v>
                </c:pt>
                <c:pt idx="88">
                  <c:v>96.147174374698423</c:v>
                </c:pt>
                <c:pt idx="89">
                  <c:v>96.135762403996665</c:v>
                </c:pt>
                <c:pt idx="90">
                  <c:v>96.12397170626933</c:v>
                </c:pt>
                <c:pt idx="91">
                  <c:v>96.111811667305616</c:v>
                </c:pt>
                <c:pt idx="92">
                  <c:v>96.099291222489143</c:v>
                </c:pt>
                <c:pt idx="93">
                  <c:v>96.086418880176893</c:v>
                </c:pt>
                <c:pt idx="94">
                  <c:v>96.0732027435931</c:v>
                </c:pt>
                <c:pt idx="95">
                  <c:v>96.059650531345582</c:v>
                </c:pt>
                <c:pt idx="96">
                  <c:v>96.045769596663987</c:v>
                </c:pt>
                <c:pt idx="97">
                  <c:v>96.031566945450436</c:v>
                </c:pt>
                <c:pt idx="98">
                  <c:v>96.017049253226489</c:v>
                </c:pt>
                <c:pt idx="99">
                  <c:v>96.002222881053257</c:v>
                </c:pt>
                <c:pt idx="100">
                  <c:v>95.987093890495217</c:v>
                </c:pt>
                <c:pt idx="101">
                  <c:v>95.971668057693492</c:v>
                </c:pt>
                <c:pt idx="102">
                  <c:v>95.955950886608406</c:v>
                </c:pt>
                <c:pt idx="103">
                  <c:v>95.939947621486965</c:v>
                </c:pt>
                <c:pt idx="104">
                  <c:v>95.923663258606709</c:v>
                </c:pt>
                <c:pt idx="105">
                  <c:v>95.907102557343322</c:v>
                </c:pt>
                <c:pt idx="106">
                  <c:v>95.890270050605949</c:v>
                </c:pt>
                <c:pt idx="107">
                  <c:v>95.873170054680784</c:v>
                </c:pt>
                <c:pt idx="108">
                  <c:v>95.855806678520722</c:v>
                </c:pt>
                <c:pt idx="109">
                  <c:v>95.838183832515966</c:v>
                </c:pt>
                <c:pt idx="110">
                  <c:v>95.820305236777955</c:v>
                </c:pt>
                <c:pt idx="111">
                  <c:v>95.802174428966666</c:v>
                </c:pt>
                <c:pt idx="112">
                  <c:v>95.783794771689443</c:v>
                </c:pt>
                <c:pt idx="113">
                  <c:v>95.765169459497116</c:v>
                </c:pt>
                <c:pt idx="114">
                  <c:v>95.746301525501636</c:v>
                </c:pt>
                <c:pt idx="115">
                  <c:v>95.727193847637821</c:v>
                </c:pt>
                <c:pt idx="116">
                  <c:v>95.707849154590178</c:v>
                </c:pt>
                <c:pt idx="117">
                  <c:v>95.688270031404087</c:v>
                </c:pt>
                <c:pt idx="118">
                  <c:v>95.668458924799808</c:v>
                </c:pt>
                <c:pt idx="119">
                  <c:v>95.648418148206304</c:v>
                </c:pt>
                <c:pt idx="120">
                  <c:v>95.628149886530593</c:v>
                </c:pt>
                <c:pt idx="121">
                  <c:v>95.607656200677411</c:v>
                </c:pt>
                <c:pt idx="122">
                  <c:v>95.586939031833239</c:v>
                </c:pt>
                <c:pt idx="123">
                  <c:v>95.566000205527473</c:v>
                </c:pt>
                <c:pt idx="124">
                  <c:v>95.544841435482823</c:v>
                </c:pt>
                <c:pt idx="125">
                  <c:v>95.523464327266339</c:v>
                </c:pt>
                <c:pt idx="126">
                  <c:v>95.501870381751587</c:v>
                </c:pt>
                <c:pt idx="127">
                  <c:v>95.480060998402081</c:v>
                </c:pt>
                <c:pt idx="128">
                  <c:v>95.458037478384924</c:v>
                </c:pt>
                <c:pt idx="129">
                  <c:v>95.435801027523823</c:v>
                </c:pt>
                <c:pt idx="130">
                  <c:v>95.413352759099141</c:v>
                </c:pt>
                <c:pt idx="131">
                  <c:v>95.390693696503234</c:v>
                </c:pt>
                <c:pt idx="132">
                  <c:v>95.367824775757796</c:v>
                </c:pt>
                <c:pt idx="133">
                  <c:v>95.344746847900083</c:v>
                </c:pt>
                <c:pt idx="134">
                  <c:v>95.321460681244517</c:v>
                </c:pt>
                <c:pt idx="135">
                  <c:v>95.297966963525553</c:v>
                </c:pt>
                <c:pt idx="136">
                  <c:v>95.27426630392722</c:v>
                </c:pt>
                <c:pt idx="137">
                  <c:v>95.250359235004908</c:v>
                </c:pt>
                <c:pt idx="138">
                  <c:v>95.226246214503945</c:v>
                </c:pt>
                <c:pt idx="139">
                  <c:v>95.201927627080167</c:v>
                </c:pt>
                <c:pt idx="140">
                  <c:v>95.177403785926188</c:v>
                </c:pt>
                <c:pt idx="141">
                  <c:v>95.152674934308081</c:v>
                </c:pt>
                <c:pt idx="142">
                  <c:v>95.127741247015749</c:v>
                </c:pt>
                <c:pt idx="143">
                  <c:v>95.102602831731332</c:v>
                </c:pt>
                <c:pt idx="144">
                  <c:v>95.077259730318147</c:v>
                </c:pt>
                <c:pt idx="145">
                  <c:v>95.051711920034393</c:v>
                </c:pt>
                <c:pt idx="146">
                  <c:v>95.025959314673642</c:v>
                </c:pt>
                <c:pt idx="147">
                  <c:v>95.000001765635858</c:v>
                </c:pt>
                <c:pt idx="148">
                  <c:v>94.973839062930793</c:v>
                </c:pt>
                <c:pt idx="149">
                  <c:v>94.947470936116986</c:v>
                </c:pt>
                <c:pt idx="150">
                  <c:v>94.920897055178031</c:v>
                </c:pt>
                <c:pt idx="151">
                  <c:v>94.894117031339107</c:v>
                </c:pt>
                <c:pt idx="152">
                  <c:v>94.867130417824967</c:v>
                </c:pt>
                <c:pt idx="153">
                  <c:v>94.839936710562071</c:v>
                </c:pt>
                <c:pt idx="154">
                  <c:v>94.812535348826188</c:v>
                </c:pt>
                <c:pt idx="155">
                  <c:v>94.784925715837602</c:v>
                </c:pt>
                <c:pt idx="156">
                  <c:v>94.757107139304992</c:v>
                </c:pt>
                <c:pt idx="157">
                  <c:v>94.729078891919954</c:v>
                </c:pt>
                <c:pt idx="158">
                  <c:v>94.700840191803309</c:v>
                </c:pt>
                <c:pt idx="159">
                  <c:v>94.67239020290458</c:v>
                </c:pt>
                <c:pt idx="160">
                  <c:v>94.643728035355707</c:v>
                </c:pt>
                <c:pt idx="161">
                  <c:v>94.614852745780354</c:v>
                </c:pt>
                <c:pt idx="162">
                  <c:v>94.585763337559612</c:v>
                </c:pt>
                <c:pt idx="163">
                  <c:v>94.556458761055225</c:v>
                </c:pt>
                <c:pt idx="164">
                  <c:v>94.526937913791031</c:v>
                </c:pt>
                <c:pt idx="165">
                  <c:v>94.497199640593635</c:v>
                </c:pt>
                <c:pt idx="166">
                  <c:v>94.467242733692899</c:v>
                </c:pt>
                <c:pt idx="167">
                  <c:v>94.437065932783042</c:v>
                </c:pt>
                <c:pt idx="168">
                  <c:v>94.406667925044701</c:v>
                </c:pt>
                <c:pt idx="169">
                  <c:v>94.376047345128896</c:v>
                </c:pt>
                <c:pt idx="170">
                  <c:v>94.345202775102962</c:v>
                </c:pt>
                <c:pt idx="171">
                  <c:v>94.314132744359114</c:v>
                </c:pt>
                <c:pt idx="172">
                  <c:v>94.282835729486024</c:v>
                </c:pt>
                <c:pt idx="173">
                  <c:v>94.251310154103436</c:v>
                </c:pt>
                <c:pt idx="174">
                  <c:v>94.219554388660427</c:v>
                </c:pt>
                <c:pt idx="175">
                  <c:v>94.187566750197334</c:v>
                </c:pt>
                <c:pt idx="176">
                  <c:v>94.155345502071285</c:v>
                </c:pt>
                <c:pt idx="177">
                  <c:v>94.122888853646032</c:v>
                </c:pt>
                <c:pt idx="178">
                  <c:v>94.090194959945194</c:v>
                </c:pt>
                <c:pt idx="179">
                  <c:v>94.057261921269927</c:v>
                </c:pt>
                <c:pt idx="180">
                  <c:v>94.0240877827801</c:v>
                </c:pt>
                <c:pt idx="181">
                  <c:v>93.990670534039381</c:v>
                </c:pt>
                <c:pt idx="182">
                  <c:v>93.957008108523837</c:v>
                </c:pt>
                <c:pt idx="183">
                  <c:v>93.923098383094</c:v>
                </c:pt>
                <c:pt idx="184">
                  <c:v>93.888939177429791</c:v>
                </c:pt>
                <c:pt idx="185">
                  <c:v>93.854528253428626</c:v>
                </c:pt>
                <c:pt idx="186">
                  <c:v>93.819863314565481</c:v>
                </c:pt>
                <c:pt idx="187">
                  <c:v>93.78494200521537</c:v>
                </c:pt>
                <c:pt idx="188">
                  <c:v>93.749761909937192</c:v>
                </c:pt>
                <c:pt idx="189">
                  <c:v>93.714320552718533</c:v>
                </c:pt>
                <c:pt idx="190">
                  <c:v>93.678615396181158</c:v>
                </c:pt>
                <c:pt idx="191">
                  <c:v>93.642643840746175</c:v>
                </c:pt>
                <c:pt idx="192">
                  <c:v>93.606403223758463</c:v>
                </c:pt>
                <c:pt idx="193">
                  <c:v>93.569890818569462</c:v>
                </c:pt>
                <c:pt idx="194">
                  <c:v>93.533103833577826</c:v>
                </c:pt>
                <c:pt idx="195">
                  <c:v>93.496039411226619</c:v>
                </c:pt>
                <c:pt idx="196">
                  <c:v>93.458694626956756</c:v>
                </c:pt>
                <c:pt idx="197">
                  <c:v>93.421066488115173</c:v>
                </c:pt>
                <c:pt idx="198">
                  <c:v>93.383151932817114</c:v>
                </c:pt>
                <c:pt idx="199">
                  <c:v>93.344947828761221</c:v>
                </c:pt>
                <c:pt idx="200">
                  <c:v>93.306450971996384</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cat>
          <c:val>
            <c:numRef>
              <c:f>'Power Calculations'!$Q$9:$Q$209</c:f>
              <c:numCache>
                <c:formatCode>0.0000</c:formatCode>
                <c:ptCount val="201"/>
                <c:pt idx="0">
                  <c:v>0.21787353549574384</c:v>
                </c:pt>
                <c:pt idx="1">
                  <c:v>0.21793155532221564</c:v>
                </c:pt>
                <c:pt idx="2">
                  <c:v>0.21808986626301727</c:v>
                </c:pt>
                <c:pt idx="3">
                  <c:v>0.21834847592839771</c:v>
                </c:pt>
                <c:pt idx="4">
                  <c:v>0.21870739675074002</c:v>
                </c:pt>
                <c:pt idx="5">
                  <c:v>0.21916664598605576</c:v>
                </c:pt>
                <c:pt idx="6">
                  <c:v>0.219726245716059</c:v>
                </c:pt>
                <c:pt idx="7">
                  <c:v>0.22038622285082124</c:v>
                </c:pt>
                <c:pt idx="8">
                  <c:v>0.22114660913200695</c:v>
                </c:pt>
                <c:pt idx="9">
                  <c:v>0.22200744113669127</c:v>
                </c:pt>
                <c:pt idx="10">
                  <c:v>0.22296876028175991</c:v>
                </c:pt>
                <c:pt idx="11">
                  <c:v>0.22403061282889303</c:v>
                </c:pt>
                <c:pt idx="12">
                  <c:v>0.22519304989013378</c:v>
                </c:pt>
                <c:pt idx="13">
                  <c:v>0.2264561274340425</c:v>
                </c:pt>
                <c:pt idx="14">
                  <c:v>0.22781990629243884</c:v>
                </c:pt>
                <c:pt idx="15">
                  <c:v>0.22928445216773222</c:v>
                </c:pt>
                <c:pt idx="16">
                  <c:v>0.23084983564084327</c:v>
                </c:pt>
                <c:pt idx="17">
                  <c:v>0.23251613217971734</c:v>
                </c:pt>
                <c:pt idx="18">
                  <c:v>0.23428342214843223</c:v>
                </c:pt>
                <c:pt idx="19">
                  <c:v>0.23615179081690238</c:v>
                </c:pt>
                <c:pt idx="20">
                  <c:v>0.23812132837118147</c:v>
                </c:pt>
                <c:pt idx="21">
                  <c:v>0.24019212992436578</c:v>
                </c:pt>
                <c:pt idx="22">
                  <c:v>0.24236429552810085</c:v>
                </c:pt>
                <c:pt idx="23">
                  <c:v>0.2446379301846941</c:v>
                </c:pt>
                <c:pt idx="24">
                  <c:v>0.24701314385983605</c:v>
                </c:pt>
                <c:pt idx="25">
                  <c:v>0.24949005149593292</c:v>
                </c:pt>
                <c:pt idx="26">
                  <c:v>0.25206877302605391</c:v>
                </c:pt>
                <c:pt idx="27">
                  <c:v>0.2547494333884962</c:v>
                </c:pt>
                <c:pt idx="28">
                  <c:v>0.25753216254197064</c:v>
                </c:pt>
                <c:pt idx="29">
                  <c:v>0.26041709548141279</c:v>
                </c:pt>
                <c:pt idx="30">
                  <c:v>0.26340437225442054</c:v>
                </c:pt>
                <c:pt idx="31">
                  <c:v>0.26649413797832527</c:v>
                </c:pt>
                <c:pt idx="32">
                  <c:v>0.26968654285789745</c:v>
                </c:pt>
                <c:pt idx="33">
                  <c:v>0.27298174220369248</c:v>
                </c:pt>
                <c:pt idx="34">
                  <c:v>0.27637989645104094</c:v>
                </c:pt>
                <c:pt idx="35">
                  <c:v>0.27988117117968608</c:v>
                </c:pt>
                <c:pt idx="36">
                  <c:v>0.28348573713407549</c:v>
                </c:pt>
                <c:pt idx="37">
                  <c:v>0.28719377024430937</c:v>
                </c:pt>
                <c:pt idx="38">
                  <c:v>0.29100545164775121</c:v>
                </c:pt>
                <c:pt idx="39">
                  <c:v>0.2949209677113066</c:v>
                </c:pt>
                <c:pt idx="40">
                  <c:v>0.29894051005437311</c:v>
                </c:pt>
                <c:pt idx="41">
                  <c:v>0.30306427557246968</c:v>
                </c:pt>
                <c:pt idx="42">
                  <c:v>0.30729246646154795</c:v>
                </c:pt>
                <c:pt idx="43">
                  <c:v>0.31162529024299296</c:v>
                </c:pt>
                <c:pt idx="44">
                  <c:v>0.31606295978931886</c:v>
                </c:pt>
                <c:pt idx="45">
                  <c:v>0.3206056933505651</c:v>
                </c:pt>
                <c:pt idx="46">
                  <c:v>0.3252537145813994</c:v>
                </c:pt>
                <c:pt idx="47">
                  <c:v>0.33000725256893415</c:v>
                </c:pt>
                <c:pt idx="48">
                  <c:v>0.33486654186126297</c:v>
                </c:pt>
                <c:pt idx="49">
                  <c:v>0.33983182249672295</c:v>
                </c:pt>
                <c:pt idx="50">
                  <c:v>0.34490334003389056</c:v>
                </c:pt>
                <c:pt idx="51">
                  <c:v>0.35008134558231874</c:v>
                </c:pt>
                <c:pt idx="52">
                  <c:v>0.35536609583402057</c:v>
                </c:pt>
                <c:pt idx="53">
                  <c:v>0.36075785309570868</c:v>
                </c:pt>
                <c:pt idx="54">
                  <c:v>0.36625688532179757</c:v>
                </c:pt>
                <c:pt idx="55">
                  <c:v>0.37186346614817678</c:v>
                </c:pt>
                <c:pt idx="56">
                  <c:v>0.37757787492676198</c:v>
                </c:pt>
                <c:pt idx="57">
                  <c:v>0.38340039676083382</c:v>
                </c:pt>
                <c:pt idx="58">
                  <c:v>0.38933132254117231</c:v>
                </c:pt>
                <c:pt idx="59">
                  <c:v>0.39537094898299463</c:v>
                </c:pt>
                <c:pt idx="60">
                  <c:v>0.40151957866370697</c:v>
                </c:pt>
                <c:pt idx="61">
                  <c:v>0.40777752006147738</c:v>
                </c:pt>
                <c:pt idx="62">
                  <c:v>0.41414508759464153</c:v>
                </c:pt>
                <c:pt idx="63">
                  <c:v>0.42062260166194776</c:v>
                </c:pt>
                <c:pt idx="64">
                  <c:v>0.42721038868365491</c:v>
                </c:pt>
                <c:pt idx="65">
                  <c:v>0.43390878114348941</c:v>
                </c:pt>
                <c:pt idx="66">
                  <c:v>0.44071811763147456</c:v>
                </c:pt>
                <c:pt idx="67">
                  <c:v>0.44763874288764061</c:v>
                </c:pt>
                <c:pt idx="68">
                  <c:v>0.45467100784662801</c:v>
                </c:pt>
                <c:pt idx="69">
                  <c:v>0.46181526968319347</c:v>
                </c:pt>
                <c:pt idx="70">
                  <c:v>0.4690718918586313</c:v>
                </c:pt>
                <c:pt idx="71">
                  <c:v>0.47644124416811928</c:v>
                </c:pt>
                <c:pt idx="72">
                  <c:v>0.48392370278900471</c:v>
                </c:pt>
                <c:pt idx="73">
                  <c:v>0.49151965033003869</c:v>
                </c:pt>
                <c:pt idx="74">
                  <c:v>0.49922947588157357</c:v>
                </c:pt>
                <c:pt idx="75">
                  <c:v>0.50705357506673432</c:v>
                </c:pt>
                <c:pt idx="76">
                  <c:v>0.51499235009357902</c:v>
                </c:pt>
                <c:pt idx="77">
                  <c:v>0.52304620980825867</c:v>
                </c:pt>
                <c:pt idx="78">
                  <c:v>0.53121556974919271</c:v>
                </c:pt>
                <c:pt idx="79">
                  <c:v>0.53950085220227162</c:v>
                </c:pt>
                <c:pt idx="80">
                  <c:v>0.54790248625710258</c:v>
                </c:pt>
                <c:pt idx="81">
                  <c:v>0.55642090786431087</c:v>
                </c:pt>
                <c:pt idx="82">
                  <c:v>0.56505655989391235</c:v>
                </c:pt>
                <c:pt idx="83">
                  <c:v>0.57380989219477452</c:v>
                </c:pt>
                <c:pt idx="84">
                  <c:v>0.5826813616551757</c:v>
                </c:pt>
                <c:pt idx="85">
                  <c:v>0.59167143226448327</c:v>
                </c:pt>
                <c:pt idx="86">
                  <c:v>0.60078057517596606</c:v>
                </c:pt>
                <c:pt idx="87">
                  <c:v>0.61000926877075479</c:v>
                </c:pt>
                <c:pt idx="88">
                  <c:v>0.61935799872297026</c:v>
                </c:pt>
                <c:pt idx="89">
                  <c:v>0.62882725806603335</c:v>
                </c:pt>
                <c:pt idx="90">
                  <c:v>0.63841754726017874</c:v>
                </c:pt>
                <c:pt idx="91">
                  <c:v>0.64812937426118433</c:v>
                </c:pt>
                <c:pt idx="92">
                  <c:v>0.65796325459034066</c:v>
                </c:pt>
                <c:pt idx="93">
                  <c:v>0.66791971140567341</c:v>
                </c:pt>
                <c:pt idx="94">
                  <c:v>0.67799927557444262</c:v>
                </c:pt>
                <c:pt idx="95">
                  <c:v>0.68820248574693554</c:v>
                </c:pt>
                <c:pt idx="96">
                  <c:v>0.69852988843157293</c:v>
                </c:pt>
                <c:pt idx="97">
                  <c:v>0.70898203807135052</c:v>
                </c:pt>
                <c:pt idx="98">
                  <c:v>0.71955949712163569</c:v>
                </c:pt>
                <c:pt idx="99">
                  <c:v>0.73026283612933818</c:v>
                </c:pt>
                <c:pt idx="100">
                  <c:v>0.74109263381348378</c:v>
                </c:pt>
                <c:pt idx="101">
                  <c:v>0.75204947714720216</c:v>
                </c:pt>
                <c:pt idx="102">
                  <c:v>0.76313396144116119</c:v>
                </c:pt>
                <c:pt idx="103">
                  <c:v>0.77434669042846549</c:v>
                </c:pt>
                <c:pt idx="104">
                  <c:v>0.78568827635104488</c:v>
                </c:pt>
                <c:pt idx="105">
                  <c:v>0.79715934004755562</c:v>
                </c:pt>
                <c:pt idx="106">
                  <c:v>0.80876051104282065</c:v>
                </c:pt>
                <c:pt idx="107">
                  <c:v>0.82049242763883123</c:v>
                </c:pt>
                <c:pt idx="108">
                  <c:v>0.83235573700733845</c:v>
                </c:pt>
                <c:pt idx="109">
                  <c:v>0.84435109528406094</c:v>
                </c:pt>
                <c:pt idx="110">
                  <c:v>0.85647916766453203</c:v>
                </c:pt>
                <c:pt idx="111">
                  <c:v>0.86874062850161682</c:v>
                </c:pt>
                <c:pt idx="112">
                  <c:v>0.8811361614047275</c:v>
                </c:pt>
                <c:pt idx="113">
                  <c:v>0.89366645934076372</c:v>
                </c:pt>
                <c:pt idx="114">
                  <c:v>0.90633222473680886</c:v>
                </c:pt>
                <c:pt idx="115">
                  <c:v>0.91913416958460892</c:v>
                </c:pt>
                <c:pt idx="116">
                  <c:v>0.93207301554686794</c:v>
                </c:pt>
                <c:pt idx="117">
                  <c:v>0.94514949406539106</c:v>
                </c:pt>
                <c:pt idx="118">
                  <c:v>0.95836434647110513</c:v>
                </c:pt>
                <c:pt idx="119">
                  <c:v>0.97171832409598813</c:v>
                </c:pt>
                <c:pt idx="120">
                  <c:v>0.98521218838694646</c:v>
                </c:pt>
                <c:pt idx="121">
                  <c:v>0.99884671102166744</c:v>
                </c:pt>
                <c:pt idx="122">
                  <c:v>1.0126226740264836</c:v>
                </c:pt>
                <c:pt idx="123">
                  <c:v>1.0265408698962917</c:v>
                </c:pt>
                <c:pt idx="124">
                  <c:v>1.0406021017165465</c:v>
                </c:pt>
                <c:pt idx="125">
                  <c:v>1.0548071832873849</c:v>
                </c:pt>
                <c:pt idx="126">
                  <c:v>1.0691569392499032</c:v>
                </c:pt>
                <c:pt idx="127">
                  <c:v>1.083652205214638</c:v>
                </c:pt>
                <c:pt idx="128">
                  <c:v>1.0982938278922802</c:v>
                </c:pt>
                <c:pt idx="129">
                  <c:v>1.1130826652266685</c:v>
                </c:pt>
                <c:pt idx="130">
                  <c:v>1.1280195865301057</c:v>
                </c:pt>
                <c:pt idx="131">
                  <c:v>1.1431054726210317</c:v>
                </c:pt>
                <c:pt idx="132">
                  <c:v>1.1583412159641042</c:v>
                </c:pt>
                <c:pt idx="133">
                  <c:v>1.1737277208127312</c:v>
                </c:pt>
                <c:pt idx="134">
                  <c:v>1.1892659033540904</c:v>
                </c:pt>
                <c:pt idx="135">
                  <c:v>1.204956691856699</c:v>
                </c:pt>
                <c:pt idx="136">
                  <c:v>1.2208010268205616</c:v>
                </c:pt>
                <c:pt idx="137">
                  <c:v>1.2367998611299618</c:v>
                </c:pt>
                <c:pt idx="138">
                  <c:v>1.2529541602089349</c:v>
                </c:pt>
                <c:pt idx="139">
                  <c:v>1.2692649021794788</c:v>
                </c:pt>
                <c:pt idx="140">
                  <c:v>1.2857330780225498</c:v>
                </c:pt>
                <c:pt idx="141">
                  <c:v>1.3023596917419014</c:v>
                </c:pt>
                <c:pt idx="142">
                  <c:v>1.3191457605308161</c:v>
                </c:pt>
                <c:pt idx="143">
                  <c:v>1.3360923149417887</c:v>
                </c:pt>
                <c:pt idx="144">
                  <c:v>1.3532003990592121</c:v>
                </c:pt>
                <c:pt idx="145">
                  <c:v>1.3704710706751304</c:v>
                </c:pt>
                <c:pt idx="146">
                  <c:v>1.3879054014681131</c:v>
                </c:pt>
                <c:pt idx="147">
                  <c:v>1.4055044771853127</c:v>
                </c:pt>
                <c:pt idx="148">
                  <c:v>1.4232693978277713</c:v>
                </c:pt>
                <c:pt idx="149">
                  <c:v>1.4412012778390297</c:v>
                </c:pt>
                <c:pt idx="150">
                  <c:v>1.459301246297114</c:v>
                </c:pt>
                <c:pt idx="151">
                  <c:v>1.477570447109964</c:v>
                </c:pt>
                <c:pt idx="152">
                  <c:v>1.4960100392143616</c:v>
                </c:pt>
                <c:pt idx="153">
                  <c:v>1.5146211967784453</c:v>
                </c:pt>
                <c:pt idx="154">
                  <c:v>1.5334051094078662</c:v>
                </c:pt>
                <c:pt idx="155">
                  <c:v>1.5523629823556659</c:v>
                </c:pt>
                <c:pt idx="156">
                  <c:v>1.5714960367359538</c:v>
                </c:pt>
                <c:pt idx="157">
                  <c:v>1.5908055097414486</c:v>
                </c:pt>
                <c:pt idx="158">
                  <c:v>1.6102926548649765</c:v>
                </c:pt>
                <c:pt idx="159">
                  <c:v>1.6299587421249908</c:v>
                </c:pt>
                <c:pt idx="160">
                  <c:v>1.6498050582952095</c:v>
                </c:pt>
                <c:pt idx="161">
                  <c:v>1.6698329071384421</c:v>
                </c:pt>
                <c:pt idx="162">
                  <c:v>1.6900436096447007</c:v>
                </c:pt>
                <c:pt idx="163">
                  <c:v>1.7104385042736705</c:v>
                </c:pt>
                <c:pt idx="164">
                  <c:v>1.7310189472016579</c:v>
                </c:pt>
                <c:pt idx="165">
                  <c:v>1.7517863125730553</c:v>
                </c:pt>
                <c:pt idx="166">
                  <c:v>1.7727419927564807</c:v>
                </c:pt>
                <c:pt idx="167">
                  <c:v>1.7938873986056487</c:v>
                </c:pt>
                <c:pt idx="168">
                  <c:v>1.8152239597250657</c:v>
                </c:pt>
                <c:pt idx="169">
                  <c:v>1.8367531247406859</c:v>
                </c:pt>
                <c:pt idx="170">
                  <c:v>1.8584763615756004</c:v>
                </c:pt>
                <c:pt idx="171">
                  <c:v>1.8803951577308775</c:v>
                </c:pt>
                <c:pt idx="172">
                  <c:v>1.902511020571664</c:v>
                </c:pt>
                <c:pt idx="173">
                  <c:v>1.9248254776186597</c:v>
                </c:pt>
                <c:pt idx="174">
                  <c:v>1.9473400768450648</c:v>
                </c:pt>
                <c:pt idx="175">
                  <c:v>1.9700563869791514</c:v>
                </c:pt>
                <c:pt idx="176">
                  <c:v>1.9929759978125303</c:v>
                </c:pt>
                <c:pt idx="177">
                  <c:v>2.0161005205142848</c:v>
                </c:pt>
                <c:pt idx="178">
                  <c:v>2.039431587951066</c:v>
                </c:pt>
                <c:pt idx="179">
                  <c:v>2.0629708550132877</c:v>
                </c:pt>
                <c:pt idx="180">
                  <c:v>2.0867199989475598</c:v>
                </c:pt>
                <c:pt idx="181">
                  <c:v>2.1106807196954818</c:v>
                </c:pt>
                <c:pt idx="182">
                  <c:v>2.134854740238957</c:v>
                </c:pt>
                <c:pt idx="183">
                  <c:v>2.1592438069521456</c:v>
                </c:pt>
                <c:pt idx="184">
                  <c:v>2.1838496899602169</c:v>
                </c:pt>
                <c:pt idx="185">
                  <c:v>2.2086741835050603</c:v>
                </c:pt>
                <c:pt idx="186">
                  <c:v>2.2337191063180839</c:v>
                </c:pt>
                <c:pt idx="187">
                  <c:v>2.2589863020002796</c:v>
                </c:pt>
                <c:pt idx="188">
                  <c:v>2.2844776394097042</c:v>
                </c:pt>
                <c:pt idx="189">
                  <c:v>2.3101950130565654</c:v>
                </c:pt>
                <c:pt idx="190">
                  <c:v>2.3361403435060373</c:v>
                </c:pt>
                <c:pt idx="191">
                  <c:v>2.3623155777890337</c:v>
                </c:pt>
                <c:pt idx="192">
                  <c:v>2.3887226898210865</c:v>
                </c:pt>
                <c:pt idx="193">
                  <c:v>2.41536368082952</c:v>
                </c:pt>
                <c:pt idx="194">
                  <c:v>2.4422405797891078</c:v>
                </c:pt>
                <c:pt idx="195">
                  <c:v>2.4693554438664198</c:v>
                </c:pt>
                <c:pt idx="196">
                  <c:v>2.4967103588730386</c:v>
                </c:pt>
                <c:pt idx="197">
                  <c:v>2.5243074397278691</c:v>
                </c:pt>
                <c:pt idx="198">
                  <c:v>2.5521488309287315</c:v>
                </c:pt>
                <c:pt idx="199">
                  <c:v>2.5802367070334733</c:v>
                </c:pt>
                <c:pt idx="200">
                  <c:v>2.6085732731508071</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cat>
          <c:val>
            <c:numRef>
              <c:f>'Power Calculations'!$AC$9:$AC$209</c:f>
              <c:numCache>
                <c:formatCode>0.0000</c:formatCode>
                <c:ptCount val="201"/>
                <c:pt idx="0">
                  <c:v>4.6340916871782302E-2</c:v>
                </c:pt>
                <c:pt idx="1">
                  <c:v>4.6304036407528566E-2</c:v>
                </c:pt>
                <c:pt idx="2">
                  <c:v>4.6315332324223538E-2</c:v>
                </c:pt>
                <c:pt idx="3">
                  <c:v>4.637483895341335E-2</c:v>
                </c:pt>
                <c:pt idx="4">
                  <c:v>4.6482593393910927E-2</c:v>
                </c:pt>
                <c:pt idx="5">
                  <c:v>4.6638635518724873E-2</c:v>
                </c:pt>
                <c:pt idx="6">
                  <c:v>4.684300798239209E-2</c:v>
                </c:pt>
                <c:pt idx="7">
                  <c:v>4.7095756228716867E-2</c:v>
                </c:pt>
                <c:pt idx="8">
                  <c:v>4.7396928498918078E-2</c:v>
                </c:pt>
                <c:pt idx="9">
                  <c:v>4.7746575840187454E-2</c:v>
                </c:pt>
                <c:pt idx="10">
                  <c:v>4.8144752114661016E-2</c:v>
                </c:pt>
                <c:pt idx="11">
                  <c:v>4.8591514008806673E-2</c:v>
                </c:pt>
                <c:pt idx="12">
                  <c:v>4.9086921043230612E-2</c:v>
                </c:pt>
                <c:pt idx="13">
                  <c:v>4.9631035582904957E-2</c:v>
                </c:pt>
                <c:pt idx="14">
                  <c:v>5.0223922847820596E-2</c:v>
                </c:pt>
                <c:pt idx="15">
                  <c:v>5.0865650924067238E-2</c:v>
                </c:pt>
                <c:pt idx="16">
                  <c:v>5.1556290775344696E-2</c:v>
                </c:pt>
                <c:pt idx="17">
                  <c:v>5.2295916254908578E-2</c:v>
                </c:pt>
                <c:pt idx="18">
                  <c:v>5.3084604117953405E-2</c:v>
                </c:pt>
                <c:pt idx="19">
                  <c:v>5.3922434034437659E-2</c:v>
                </c:pt>
                <c:pt idx="20">
                  <c:v>5.4809488602353462E-2</c:v>
                </c:pt>
                <c:pt idx="21">
                  <c:v>5.5745853361445774E-2</c:v>
                </c:pt>
                <c:pt idx="22">
                  <c:v>5.6731616807384186E-2</c:v>
                </c:pt>
                <c:pt idx="23">
                  <c:v>5.7766870406392161E-2</c:v>
                </c:pt>
                <c:pt idx="24">
                  <c:v>5.8851708610337644E-2</c:v>
                </c:pt>
                <c:pt idx="25">
                  <c:v>5.9986228872289327E-2</c:v>
                </c:pt>
                <c:pt idx="26">
                  <c:v>6.117053166254352E-2</c:v>
                </c:pt>
                <c:pt idx="27">
                  <c:v>6.240472048512602E-2</c:v>
                </c:pt>
                <c:pt idx="28">
                  <c:v>6.3688901894773761E-2</c:v>
                </c:pt>
                <c:pt idx="29">
                  <c:v>6.502318551440163E-2</c:v>
                </c:pt>
                <c:pt idx="30">
                  <c:v>7.7219639306032664E-2</c:v>
                </c:pt>
                <c:pt idx="31">
                  <c:v>9.6927614572116932E-2</c:v>
                </c:pt>
                <c:pt idx="32">
                  <c:v>0.11669733913135347</c:v>
                </c:pt>
                <c:pt idx="33">
                  <c:v>0.13586856926957994</c:v>
                </c:pt>
                <c:pt idx="34">
                  <c:v>0.13853825872173101</c:v>
                </c:pt>
                <c:pt idx="35">
                  <c:v>0.14126013936731691</c:v>
                </c:pt>
                <c:pt idx="36">
                  <c:v>0.14403437658425078</c:v>
                </c:pt>
                <c:pt idx="37">
                  <c:v>0.14686113913253715</c:v>
                </c:pt>
                <c:pt idx="38">
                  <c:v>0.14974059918004498</c:v>
                </c:pt>
                <c:pt idx="39">
                  <c:v>0.15267293232886076</c:v>
                </c:pt>
                <c:pt idx="40">
                  <c:v>0.15565831764222673</c:v>
                </c:pt>
                <c:pt idx="41">
                  <c:v>0.15869693767207491</c:v>
                </c:pt>
                <c:pt idx="42">
                  <c:v>0.16178897848716253</c:v>
                </c:pt>
                <c:pt idx="43">
                  <c:v>0.16493462970181882</c:v>
                </c:pt>
                <c:pt idx="44">
                  <c:v>0.16813408450531092</c:v>
                </c:pt>
                <c:pt idx="45">
                  <c:v>0.17138753969183698</c:v>
                </c:pt>
                <c:pt idx="46">
                  <c:v>0.1746951956911568</c:v>
                </c:pt>
                <c:pt idx="47">
                  <c:v>0.17805725659986776</c:v>
                </c:pt>
                <c:pt idx="48">
                  <c:v>0.1814739302133361</c:v>
                </c:pt>
                <c:pt idx="49">
                  <c:v>0.18494542805829231</c:v>
                </c:pt>
                <c:pt idx="50">
                  <c:v>0.18847196542610173</c:v>
                </c:pt>
                <c:pt idx="51">
                  <c:v>0.19205376140671893</c:v>
                </c:pt>
                <c:pt idx="52">
                  <c:v>0.19569103892333697</c:v>
                </c:pt>
                <c:pt idx="53">
                  <c:v>0.19938402476774175</c:v>
                </c:pt>
                <c:pt idx="54">
                  <c:v>0.20313294963638223</c:v>
                </c:pt>
                <c:pt idx="55">
                  <c:v>0.20693804816716768</c:v>
                </c:pt>
                <c:pt idx="56">
                  <c:v>0.21079955897700309</c:v>
                </c:pt>
                <c:pt idx="57">
                  <c:v>0.21471772470007369</c:v>
                </c:pt>
                <c:pt idx="58">
                  <c:v>0.21869279202689215</c:v>
                </c:pt>
                <c:pt idx="59">
                  <c:v>0.22272501174411771</c:v>
                </c:pt>
                <c:pt idx="60">
                  <c:v>0.22681463877516295</c:v>
                </c:pt>
                <c:pt idx="61">
                  <c:v>0.23096193222159786</c:v>
                </c:pt>
                <c:pt idx="62">
                  <c:v>0.23516715540536628</c:v>
                </c:pt>
                <c:pt idx="63">
                  <c:v>0.23943057591182651</c:v>
                </c:pt>
                <c:pt idx="64">
                  <c:v>0.24375246563363084</c:v>
                </c:pt>
                <c:pt idx="65">
                  <c:v>0.24813310081545722</c:v>
                </c:pt>
                <c:pt idx="66">
                  <c:v>0.25257276209960755</c:v>
                </c:pt>
                <c:pt idx="67">
                  <c:v>0.25707173457248633</c:v>
                </c:pt>
                <c:pt idx="68">
                  <c:v>0.26163030781197671</c:v>
                </c:pt>
                <c:pt idx="69">
                  <c:v>0.26624877593572643</c:v>
                </c:pt>
                <c:pt idx="70">
                  <c:v>0.27092743765036137</c:v>
                </c:pt>
                <c:pt idx="71">
                  <c:v>0.27566659630164142</c:v>
                </c:pt>
                <c:pt idx="72">
                  <c:v>0.28046655992557595</c:v>
                </c:pt>
                <c:pt idx="73">
                  <c:v>0.28532764130051508</c:v>
                </c:pt>
                <c:pt idx="74">
                  <c:v>0.29025015800023385</c:v>
                </c:pt>
                <c:pt idx="75">
                  <c:v>0.29523443244802661</c:v>
                </c:pt>
                <c:pt idx="76">
                  <c:v>0.30028079197183111</c:v>
                </c:pt>
                <c:pt idx="77">
                  <c:v>0.30538956886039781</c:v>
                </c:pt>
                <c:pt idx="78">
                  <c:v>0.31056110042052615</c:v>
                </c:pt>
                <c:pt idx="79">
                  <c:v>0.31579572903538516</c:v>
                </c:pt>
                <c:pt idx="80">
                  <c:v>0.32109380222393868</c:v>
                </c:pt>
                <c:pt idx="81">
                  <c:v>0.32645567270149572</c:v>
                </c:pt>
                <c:pt idx="82">
                  <c:v>0.33188169844140469</c:v>
                </c:pt>
                <c:pt idx="83">
                  <c:v>0.33737224273791727</c:v>
                </c:pt>
                <c:pt idx="84">
                  <c:v>0.34292767427023674</c:v>
                </c:pt>
                <c:pt idx="85">
                  <c:v>0.34854836716777876</c:v>
                </c:pt>
                <c:pt idx="86">
                  <c:v>0.35423470107666499</c:v>
                </c:pt>
                <c:pt idx="87">
                  <c:v>0.35998706122747165</c:v>
                </c:pt>
                <c:pt idx="88">
                  <c:v>0.36580583850425913</c:v>
                </c:pt>
                <c:pt idx="89">
                  <c:v>0.37169142951490469</c:v>
                </c:pt>
                <c:pt idx="90">
                  <c:v>0.3776442366627657</c:v>
                </c:pt>
                <c:pt idx="91">
                  <c:v>0.38366466821969547</c:v>
                </c:pt>
                <c:pt idx="92">
                  <c:v>0.38975313840044179</c:v>
                </c:pt>
                <c:pt idx="93">
                  <c:v>0.39591006743845042</c:v>
                </c:pt>
                <c:pt idx="94">
                  <c:v>0.40213588166310588</c:v>
                </c:pt>
                <c:pt idx="95">
                  <c:v>0.40843101357843331</c:v>
                </c:pt>
                <c:pt idx="96">
                  <c:v>0.41479590194329174</c:v>
                </c:pt>
                <c:pt idx="97">
                  <c:v>0.42123099185308949</c:v>
                </c:pt>
                <c:pt idx="98">
                  <c:v>0.42773673482304908</c:v>
                </c:pt>
                <c:pt idx="99">
                  <c:v>0.43431358887305455</c:v>
                </c:pt>
                <c:pt idx="100">
                  <c:v>0.44096201861411244</c:v>
                </c:pt>
                <c:pt idx="101">
                  <c:v>0.44768249533645788</c:v>
                </c:pt>
                <c:pt idx="102">
                  <c:v>0.45447549709933877</c:v>
                </c:pt>
                <c:pt idx="103">
                  <c:v>0.4613415088225159</c:v>
                </c:pt>
                <c:pt idx="104">
                  <c:v>0.46828102237950564</c:v>
                </c:pt>
                <c:pt idx="105">
                  <c:v>0.47529453669261118</c:v>
                </c:pt>
                <c:pt idx="106">
                  <c:v>0.48238255782976874</c:v>
                </c:pt>
                <c:pt idx="107">
                  <c:v>0.48954559910325474</c:v>
                </c:pt>
                <c:pt idx="108">
                  <c:v>0.49678418117028522</c:v>
                </c:pt>
                <c:pt idx="109">
                  <c:v>0.50409883213555295</c:v>
                </c:pt>
                <c:pt idx="110">
                  <c:v>0.51149008765573656</c:v>
                </c:pt>
                <c:pt idx="111">
                  <c:v>0.51895849104602909</c:v>
                </c:pt>
                <c:pt idx="112">
                  <c:v>0.52650459338872135</c:v>
                </c:pt>
                <c:pt idx="113">
                  <c:v>0.5341289536438909</c:v>
                </c:pt>
                <c:pt idx="114">
                  <c:v>0.54183213876223613</c:v>
                </c:pt>
                <c:pt idx="115">
                  <c:v>0.54961472380010012</c:v>
                </c:pt>
                <c:pt idx="116">
                  <c:v>0.55747729203673568</c:v>
                </c:pt>
                <c:pt idx="117">
                  <c:v>0.56542043509385709</c:v>
                </c:pt>
                <c:pt idx="118">
                  <c:v>0.57344475305752463</c:v>
                </c:pt>
                <c:pt idx="119">
                  <c:v>0.58155085460241807</c:v>
                </c:pt>
                <c:pt idx="120">
                  <c:v>0.58973935711854686</c:v>
                </c:pt>
                <c:pt idx="121">
                  <c:v>0.59801088684044912</c:v>
                </c:pt>
                <c:pt idx="122">
                  <c:v>0.60636607897893768</c:v>
                </c:pt>
                <c:pt idx="123">
                  <c:v>0.61480557785544732</c:v>
                </c:pt>
                <c:pt idx="124">
                  <c:v>0.62333003703903589</c:v>
                </c:pt>
                <c:pt idx="125">
                  <c:v>0.63194011948610562</c:v>
                </c:pt>
                <c:pt idx="126">
                  <c:v>0.64063649768289999</c:v>
                </c:pt>
                <c:pt idx="127">
                  <c:v>0.64941985379083711</c:v>
                </c:pt>
                <c:pt idx="128">
                  <c:v>0.65829087979474643</c:v>
                </c:pt>
                <c:pt idx="129">
                  <c:v>0.66725027765407074</c:v>
                </c:pt>
                <c:pt idx="130">
                  <c:v>0.67629875945710349</c:v>
                </c:pt>
                <c:pt idx="131">
                  <c:v>0.6854370475783238</c:v>
                </c:pt>
                <c:pt idx="132">
                  <c:v>0.69466587483890574</c:v>
                </c:pt>
                <c:pt idx="133">
                  <c:v>0.70398598467047435</c:v>
                </c:pt>
                <c:pt idx="134">
                  <c:v>0.71339813128217222</c:v>
                </c:pt>
                <c:pt idx="135">
                  <c:v>0.72290307983112678</c:v>
                </c:pt>
                <c:pt idx="136">
                  <c:v>0.73250160659638641</c:v>
                </c:pt>
                <c:pt idx="137">
                  <c:v>0.74219449915640801</c:v>
                </c:pt>
                <c:pt idx="138">
                  <c:v>0.75198255657018109</c:v>
                </c:pt>
                <c:pt idx="139">
                  <c:v>0.76186658956206921</c:v>
                </c:pt>
                <c:pt idx="140">
                  <c:v>0.77184742071045542</c:v>
                </c:pt>
                <c:pt idx="141">
                  <c:v>0.78192588464028479</c:v>
                </c:pt>
                <c:pt idx="142">
                  <c:v>0.79210282821959188</c:v>
                </c:pt>
                <c:pt idx="143">
                  <c:v>0.80237911076010837</c:v>
                </c:pt>
                <c:pt idx="144">
                  <c:v>0.81275560422204685</c:v>
                </c:pt>
                <c:pt idx="145">
                  <c:v>0.82323319342316137</c:v>
                </c:pt>
                <c:pt idx="146">
                  <c:v>0.83381277625218664</c:v>
                </c:pt>
                <c:pt idx="147">
                  <c:v>0.84449526388675622</c:v>
                </c:pt>
                <c:pt idx="148">
                  <c:v>0.85528158101591822</c:v>
                </c:pt>
                <c:pt idx="149">
                  <c:v>0.86617266606734356</c:v>
                </c:pt>
                <c:pt idx="150">
                  <c:v>0.87716947143935786</c:v>
                </c:pt>
                <c:pt idx="151">
                  <c:v>0.88827296373789799</c:v>
                </c:pt>
                <c:pt idx="152">
                  <c:v>0.89948412401852607</c:v>
                </c:pt>
                <c:pt idx="153">
                  <c:v>0.91080394803361842</c:v>
                </c:pt>
                <c:pt idx="154">
                  <c:v>0.92223344648485406</c:v>
                </c:pt>
                <c:pt idx="155">
                  <c:v>0.93377364528114493</c:v>
                </c:pt>
                <c:pt idx="156">
                  <c:v>0.94542558580212699</c:v>
                </c:pt>
                <c:pt idx="157">
                  <c:v>0.95719032516736069</c:v>
                </c:pt>
                <c:pt idx="158">
                  <c:v>0.96906893651138637</c:v>
                </c:pt>
                <c:pt idx="159">
                  <c:v>0.98106250926476668</c:v>
                </c:pt>
                <c:pt idx="160">
                  <c:v>0.99317214944128174</c:v>
                </c:pt>
                <c:pt idx="161">
                  <c:v>1.0053989799314242</c:v>
                </c:pt>
                <c:pt idx="162">
                  <c:v>1.017744140802356</c:v>
                </c:pt>
                <c:pt idx="163">
                  <c:v>1.0302087896044869</c:v>
                </c:pt>
                <c:pt idx="164">
                  <c:v>1.0427941016848599</c:v>
                </c:pt>
                <c:pt idx="165">
                  <c:v>1.0555012705074844</c:v>
                </c:pt>
                <c:pt idx="166">
                  <c:v>1.0683315079808393</c:v>
                </c:pt>
                <c:pt idx="167">
                  <c:v>1.0812860447926964</c:v>
                </c:pt>
                <c:pt idx="168">
                  <c:v>1.0943661307524659</c:v>
                </c:pt>
                <c:pt idx="169">
                  <c:v>1.1075730351412663</c:v>
                </c:pt>
                <c:pt idx="170">
                  <c:v>1.1209080470699087</c:v>
                </c:pt>
                <c:pt idx="171">
                  <c:v>1.1343724758450122</c:v>
                </c:pt>
                <c:pt idx="172">
                  <c:v>1.1479676513434578</c:v>
                </c:pt>
                <c:pt idx="173">
                  <c:v>1.1616949243954049</c:v>
                </c:pt>
                <c:pt idx="174">
                  <c:v>1.1755556671760961</c:v>
                </c:pt>
                <c:pt idx="175">
                  <c:v>1.1895512736066887</c:v>
                </c:pt>
                <c:pt idx="176">
                  <c:v>1.2036831597643431</c:v>
                </c:pt>
                <c:pt idx="177">
                  <c:v>1.2179527643018271</c:v>
                </c:pt>
                <c:pt idx="178">
                  <c:v>1.232361548876894</c:v>
                </c:pt>
                <c:pt idx="179">
                  <c:v>1.2469109985916851</c:v>
                </c:pt>
                <c:pt idx="180">
                  <c:v>1.2616026224424426</c:v>
                </c:pt>
                <c:pt idx="181">
                  <c:v>1.2764379537798112</c:v>
                </c:pt>
                <c:pt idx="182">
                  <c:v>1.2914185507800098</c:v>
                </c:pt>
                <c:pt idx="183">
                  <c:v>1.3065459969271851</c:v>
                </c:pt>
                <c:pt idx="184">
                  <c:v>1.3218219015072439</c:v>
                </c:pt>
                <c:pt idx="185">
                  <c:v>1.33724790011349</c:v>
                </c:pt>
                <c:pt idx="186">
                  <c:v>1.3528256551643922</c:v>
                </c:pt>
                <c:pt idx="187">
                  <c:v>1.3685568564338164</c:v>
                </c:pt>
                <c:pt idx="188">
                  <c:v>1.3844432215940847</c:v>
                </c:pt>
                <c:pt idx="189">
                  <c:v>1.4004864967722053</c:v>
                </c:pt>
                <c:pt idx="190">
                  <c:v>1.4166884571196607</c:v>
                </c:pt>
                <c:pt idx="191">
                  <c:v>1.4330509073961304</c:v>
                </c:pt>
                <c:pt idx="192">
                  <c:v>1.4495756825675483</c:v>
                </c:pt>
                <c:pt idx="193">
                  <c:v>1.4662646484189099</c:v>
                </c:pt>
                <c:pt idx="194">
                  <c:v>1.4831197021822373</c:v>
                </c:pt>
                <c:pt idx="195">
                  <c:v>1.5001427731801649</c:v>
                </c:pt>
                <c:pt idx="196">
                  <c:v>1.5173358234855696</c:v>
                </c:pt>
                <c:pt idx="197">
                  <c:v>1.5347008485977385</c:v>
                </c:pt>
                <c:pt idx="198">
                  <c:v>1.5522398781355451</c:v>
                </c:pt>
                <c:pt idx="199">
                  <c:v>1.5699549765481258</c:v>
                </c:pt>
                <c:pt idx="200">
                  <c:v>1.5878482438435921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cat>
          <c:val>
            <c:numRef>
              <c:f>'Power Calculations'!$AG$9:$AG$209</c:f>
              <c:numCache>
                <c:formatCode>0.0000</c:formatCode>
                <c:ptCount val="201"/>
                <c:pt idx="0">
                  <c:v>3.5629667625695097E-2</c:v>
                </c:pt>
                <c:pt idx="1">
                  <c:v>3.6368041919570868E-2</c:v>
                </c:pt>
                <c:pt idx="2">
                  <c:v>3.7179505146794065E-2</c:v>
                </c:pt>
                <c:pt idx="3">
                  <c:v>3.8064065813592868E-2</c:v>
                </c:pt>
                <c:pt idx="4">
                  <c:v>3.9021738766505137E-2</c:v>
                </c:pt>
                <c:pt idx="5">
                  <c:v>4.0052545191097362E-2</c:v>
                </c:pt>
                <c:pt idx="6">
                  <c:v>4.1156512612059132E-2</c:v>
                </c:pt>
                <c:pt idx="7">
                  <c:v>4.2333674894673136E-2</c:v>
                </c:pt>
                <c:pt idx="8">
                  <c:v>4.3584072247659693E-2</c:v>
                </c:pt>
                <c:pt idx="9">
                  <c:v>4.4907751227396486E-2</c:v>
                </c:pt>
                <c:pt idx="10">
                  <c:v>4.6304764743513992E-2</c:v>
                </c:pt>
                <c:pt idx="11">
                  <c:v>4.7775172065868232E-2</c:v>
                </c:pt>
                <c:pt idx="12">
                  <c:v>4.9319038832892577E-2</c:v>
                </c:pt>
                <c:pt idx="13">
                  <c:v>5.0936437061331094E-2</c:v>
                </c:pt>
                <c:pt idx="14">
                  <c:v>5.2627445157356519E-2</c:v>
                </c:pt>
                <c:pt idx="15">
                  <c:v>5.4392147929076443E-2</c:v>
                </c:pt>
                <c:pt idx="16">
                  <c:v>5.6230636600431837E-2</c:v>
                </c:pt>
                <c:pt idx="17">
                  <c:v>5.8143008826492613E-2</c:v>
                </c:pt>
                <c:pt idx="18">
                  <c:v>6.0129368710155555E-2</c:v>
                </c:pt>
                <c:pt idx="19">
                  <c:v>6.2189826820250524E-2</c:v>
                </c:pt>
                <c:pt idx="20">
                  <c:v>6.4324500211061147E-2</c:v>
                </c:pt>
                <c:pt idx="21">
                  <c:v>6.6533512443267356E-2</c:v>
                </c:pt>
                <c:pt idx="22">
                  <c:v>6.8816993606316962E-2</c:v>
                </c:pt>
                <c:pt idx="23">
                  <c:v>7.1175080342234992E-2</c:v>
                </c:pt>
                <c:pt idx="24">
                  <c:v>7.3607915870878782E-2</c:v>
                </c:pt>
                <c:pt idx="25">
                  <c:v>7.6115650016649078E-2</c:v>
                </c:pt>
                <c:pt idx="26">
                  <c:v>7.869843923666632E-2</c:v>
                </c:pt>
                <c:pt idx="27">
                  <c:v>8.1356446650423478E-2</c:v>
                </c:pt>
                <c:pt idx="28">
                  <c:v>8.408984207092568E-2</c:v>
                </c:pt>
                <c:pt idx="29">
                  <c:v>8.6898802037329664E-2</c:v>
                </c:pt>
                <c:pt idx="30">
                  <c:v>8.9783509849094195E-2</c:v>
                </c:pt>
                <c:pt idx="31">
                  <c:v>9.2744155601655762E-2</c:v>
                </c:pt>
                <c:pt idx="32">
                  <c:v>9.5780936223642227E-2</c:v>
                </c:pt>
                <c:pt idx="33">
                  <c:v>9.892067184417018E-2</c:v>
                </c:pt>
                <c:pt idx="34">
                  <c:v>0.1028041645912494</c:v>
                </c:pt>
                <c:pt idx="35">
                  <c:v>0.10676512163351241</c:v>
                </c:pt>
                <c:pt idx="36">
                  <c:v>0.11080379874914224</c:v>
                </c:pt>
                <c:pt idx="37">
                  <c:v>0.11492045886804535</c:v>
                </c:pt>
                <c:pt idx="38">
                  <c:v>0.11911537212336498</c:v>
                </c:pt>
                <c:pt idx="39">
                  <c:v>0.12338881590468408</c:v>
                </c:pt>
                <c:pt idx="40">
                  <c:v>0.12774107491293768</c:v>
                </c:pt>
                <c:pt idx="41">
                  <c:v>0.13217244121705746</c:v>
                </c:pt>
                <c:pt idx="42">
                  <c:v>0.13668321431236949</c:v>
                </c:pt>
                <c:pt idx="43">
                  <c:v>0.14127370118076932</c:v>
                </c:pt>
                <c:pt idx="44">
                  <c:v>0.1459442163526985</c:v>
                </c:pt>
                <c:pt idx="45">
                  <c:v>0.15069508197094625</c:v>
                </c:pt>
                <c:pt idx="46">
                  <c:v>0.155526627856303</c:v>
                </c:pt>
                <c:pt idx="47">
                  <c:v>0.16043919157509157</c:v>
                </c:pt>
                <c:pt idx="48">
                  <c:v>0.16543311850860437</c:v>
                </c:pt>
                <c:pt idx="49">
                  <c:v>0.17050876192447278</c:v>
                </c:pt>
                <c:pt idx="50">
                  <c:v>0.17566648305000054</c:v>
                </c:pt>
                <c:pt idx="51">
                  <c:v>0.18090665114748941</c:v>
                </c:pt>
                <c:pt idx="52">
                  <c:v>0.18622964359158839</c:v>
                </c:pt>
                <c:pt idx="53">
                  <c:v>0.19163584594869915</c:v>
                </c:pt>
                <c:pt idx="54">
                  <c:v>0.19712565205847021</c:v>
                </c:pt>
                <c:pt idx="55">
                  <c:v>0.20269946411741427</c:v>
                </c:pt>
                <c:pt idx="56">
                  <c:v>0.2083576927646828</c:v>
                </c:pt>
                <c:pt idx="57">
                  <c:v>0.21410075717003516</c:v>
                </c:pt>
                <c:pt idx="58">
                  <c:v>0.2199290851240395</c:v>
                </c:pt>
                <c:pt idx="59">
                  <c:v>0.22584311313054212</c:v>
                </c:pt>
                <c:pt idx="60">
                  <c:v>0.23184328650144731</c:v>
                </c:pt>
                <c:pt idx="61">
                  <c:v>0.23793005945384574</c:v>
                </c:pt>
                <c:pt idx="62">
                  <c:v>0.24410389520953565</c:v>
                </c:pt>
                <c:pt idx="63">
                  <c:v>0.25036526609697757</c:v>
                </c:pt>
                <c:pt idx="64">
                  <c:v>0.25671465365572949</c:v>
                </c:pt>
                <c:pt idx="65">
                  <c:v>0.26315254874340521</c:v>
                </c:pt>
                <c:pt idx="66">
                  <c:v>0.2696794516452064</c:v>
                </c:pt>
                <c:pt idx="67">
                  <c:v>0.27629587218607188</c:v>
                </c:pt>
                <c:pt idx="68">
                  <c:v>0.2830023298455</c:v>
                </c:pt>
                <c:pt idx="69">
                  <c:v>0.28979935387508904</c:v>
                </c:pt>
                <c:pt idx="70">
                  <c:v>0.29668748341885315</c:v>
                </c:pt>
                <c:pt idx="71">
                  <c:v>0.30366726763636465</c:v>
                </c:pt>
                <c:pt idx="72">
                  <c:v>0.31073926582878064</c:v>
                </c:pt>
                <c:pt idx="73">
                  <c:v>0.31790404756781016</c:v>
                </c:pt>
                <c:pt idx="74">
                  <c:v>0.32516219282768039</c:v>
                </c:pt>
                <c:pt idx="75">
                  <c:v>0.33251429212016376</c:v>
                </c:pt>
                <c:pt idx="76">
                  <c:v>0.33996094663272758</c:v>
                </c:pt>
                <c:pt idx="77">
                  <c:v>0.34750276836986987</c:v>
                </c:pt>
                <c:pt idx="78">
                  <c:v>0.35514038029770817</c:v>
                </c:pt>
                <c:pt idx="79">
                  <c:v>0.36287441649188873</c:v>
                </c:pt>
                <c:pt idx="80">
                  <c:v>0.37070552228888665</c:v>
                </c:pt>
                <c:pt idx="81">
                  <c:v>0.37863435444076632</c:v>
                </c:pt>
                <c:pt idx="82">
                  <c:v>0.38666158127347827</c:v>
                </c:pt>
                <c:pt idx="83">
                  <c:v>0.39478788284876964</c:v>
                </c:pt>
                <c:pt idx="84">
                  <c:v>0.40301395112978095</c:v>
                </c:pt>
                <c:pt idx="85">
                  <c:v>0.41134049015041435</c:v>
                </c:pt>
                <c:pt idx="86">
                  <c:v>0.41976821618855581</c:v>
                </c:pt>
                <c:pt idx="87">
                  <c:v>0.42829785794323139</c:v>
                </c:pt>
                <c:pt idx="88">
                  <c:v>0.43693015671579216</c:v>
                </c:pt>
                <c:pt idx="89">
                  <c:v>0.44566586659520913</c:v>
                </c:pt>
                <c:pt idx="90">
                  <c:v>0.45450575464758097</c:v>
                </c:pt>
                <c:pt idx="91">
                  <c:v>0.46345060110993797</c:v>
                </c:pt>
                <c:pt idx="92">
                  <c:v>0.47250119958845049</c:v>
                </c:pt>
                <c:pt idx="93">
                  <c:v>0.48165835726113382</c:v>
                </c:pt>
                <c:pt idx="94">
                  <c:v>0.49092289508516179</c:v>
                </c:pt>
                <c:pt idx="95">
                  <c:v>0.50029564800888748</c:v>
                </c:pt>
                <c:pt idx="96">
                  <c:v>0.50977746518868405</c:v>
                </c:pt>
                <c:pt idx="97">
                  <c:v>0.51936921021072135</c:v>
                </c:pt>
                <c:pt idx="98">
                  <c:v>0.52907176131778999</c:v>
                </c:pt>
                <c:pt idx="99">
                  <c:v>0.53888601164129091</c:v>
                </c:pt>
                <c:pt idx="100">
                  <c:v>0.5488128694385227</c:v>
                </c:pt>
                <c:pt idx="101">
                  <c:v>0.55885325833538146</c:v>
                </c:pt>
                <c:pt idx="102">
                  <c:v>0.56900811757461078</c:v>
                </c:pt>
                <c:pt idx="103">
                  <c:v>0.57927840226973482</c:v>
                </c:pt>
                <c:pt idx="104">
                  <c:v>0.58966508366480797</c:v>
                </c:pt>
                <c:pt idx="105">
                  <c:v>0.60016914940013322</c:v>
                </c:pt>
                <c:pt idx="106">
                  <c:v>0.61079160378408182</c:v>
                </c:pt>
                <c:pt idx="107">
                  <c:v>0.62153346807117771</c:v>
                </c:pt>
                <c:pt idx="108">
                  <c:v>0.63239578074659253</c:v>
                </c:pt>
                <c:pt idx="109">
                  <c:v>0.6433795978172191</c:v>
                </c:pt>
                <c:pt idx="110">
                  <c:v>0.65448599310947775</c:v>
                </c:pt>
                <c:pt idx="111">
                  <c:v>0.66571605857403471</c:v>
                </c:pt>
                <c:pt idx="112">
                  <c:v>0.67707090459760322</c:v>
                </c:pt>
                <c:pt idx="113">
                  <c:v>0.6885516603220041</c:v>
                </c:pt>
                <c:pt idx="114">
                  <c:v>0.70015947397067901</c:v>
                </c:pt>
                <c:pt idx="115">
                  <c:v>0.71189551318283606</c:v>
                </c:pt>
                <c:pt idx="116">
                  <c:v>0.7237609653554371</c:v>
                </c:pt>
                <c:pt idx="117">
                  <c:v>0.73575703799321879</c:v>
                </c:pt>
                <c:pt idx="118">
                  <c:v>0.74788495906696317</c:v>
                </c:pt>
                <c:pt idx="119">
                  <c:v>0.76014597738023015</c:v>
                </c:pt>
                <c:pt idx="120">
                  <c:v>0.77254136294477505</c:v>
                </c:pt>
                <c:pt idx="121">
                  <c:v>0.78507240736487804</c:v>
                </c:pt>
                <c:pt idx="122">
                  <c:v>0.79774042423082581</c:v>
                </c:pt>
                <c:pt idx="123">
                  <c:v>0.81054674952178607</c:v>
                </c:pt>
                <c:pt idx="124">
                  <c:v>0.82349274201832234</c:v>
                </c:pt>
                <c:pt idx="125">
                  <c:v>0.83657978372481701</c:v>
                </c:pt>
                <c:pt idx="126">
                  <c:v>0.84980928030206138</c:v>
                </c:pt>
                <c:pt idx="127">
                  <c:v>0.86318266151029255</c:v>
                </c:pt>
                <c:pt idx="128">
                  <c:v>0.87670138166295886</c:v>
                </c:pt>
                <c:pt idx="129">
                  <c:v>0.89036692009151008</c:v>
                </c:pt>
                <c:pt idx="130">
                  <c:v>0.90418078162151339</c:v>
                </c:pt>
                <c:pt idx="131">
                  <c:v>0.91814449706040724</c:v>
                </c:pt>
                <c:pt idx="132">
                  <c:v>0.93225962369721405</c:v>
                </c:pt>
                <c:pt idx="133">
                  <c:v>0.94652774581455235</c:v>
                </c:pt>
                <c:pt idx="134">
                  <c:v>0.96095047521328036</c:v>
                </c:pt>
                <c:pt idx="135">
                  <c:v>0.97552945175013484</c:v>
                </c:pt>
                <c:pt idx="136">
                  <c:v>0.99026634388872736</c:v>
                </c:pt>
                <c:pt idx="137">
                  <c:v>1.0051628492642799</c:v>
                </c:pt>
                <c:pt idx="138">
                  <c:v>1.020220695262489</c:v>
                </c:pt>
                <c:pt idx="139">
                  <c:v>1.035441639612918</c:v>
                </c:pt>
                <c:pt idx="140">
                  <c:v>1.0508274709973442</c:v>
                </c:pt>
                <c:pt idx="141">
                  <c:v>1.0663800096734837</c:v>
                </c:pt>
                <c:pt idx="142">
                  <c:v>1.0821011081145435</c:v>
                </c:pt>
                <c:pt idx="143">
                  <c:v>1.0979926516650631</c:v>
                </c:pt>
                <c:pt idx="144">
                  <c:v>1.1140565592135168</c:v>
                </c:pt>
                <c:pt idx="145">
                  <c:v>1.1302947838821713</c:v>
                </c:pt>
                <c:pt idx="146">
                  <c:v>1.1467093137347109</c:v>
                </c:pt>
                <c:pt idx="147">
                  <c:v>1.1633021725021553</c:v>
                </c:pt>
                <c:pt idx="148">
                  <c:v>1.1800754203276069</c:v>
                </c:pt>
                <c:pt idx="149">
                  <c:v>1.1970311545304049</c:v>
                </c:pt>
                <c:pt idx="150">
                  <c:v>1.2141715103902568</c:v>
                </c:pt>
                <c:pt idx="151">
                  <c:v>1.2314986619519559</c:v>
                </c:pt>
                <c:pt idx="152">
                  <c:v>1.2490148228513118</c:v>
                </c:pt>
                <c:pt idx="153">
                  <c:v>1.2667222471629276</c:v>
                </c:pt>
                <c:pt idx="154">
                  <c:v>1.2846232302705081</c:v>
                </c:pt>
                <c:pt idx="155">
                  <c:v>1.3027201097603833</c:v>
                </c:pt>
                <c:pt idx="156">
                  <c:v>1.3210152663389603</c:v>
                </c:pt>
                <c:pt idx="157">
                  <c:v>1.3395111247748521</c:v>
                </c:pt>
                <c:pt idx="158">
                  <c:v>1.358210154866456</c:v>
                </c:pt>
                <c:pt idx="159">
                  <c:v>1.3771148724357631</c:v>
                </c:pt>
                <c:pt idx="160">
                  <c:v>1.3962278403492399</c:v>
                </c:pt>
                <c:pt idx="161">
                  <c:v>1.415551669566629</c:v>
                </c:pt>
                <c:pt idx="162">
                  <c:v>1.4350890202185602</c:v>
                </c:pt>
                <c:pt idx="163">
                  <c:v>1.4548426027138794</c:v>
                </c:pt>
                <c:pt idx="164">
                  <c:v>1.4748151788776771</c:v>
                </c:pt>
                <c:pt idx="165">
                  <c:v>1.4950095631209497</c:v>
                </c:pt>
                <c:pt idx="166">
                  <c:v>1.5154286236429868</c:v>
                </c:pt>
                <c:pt idx="167">
                  <c:v>1.5360752836674947</c:v>
                </c:pt>
                <c:pt idx="168">
                  <c:v>1.556952522713577</c:v>
                </c:pt>
                <c:pt idx="169">
                  <c:v>1.5780633779027178</c:v>
                </c:pt>
                <c:pt idx="170">
                  <c:v>1.5994109453029577</c:v>
                </c:pt>
                <c:pt idx="171">
                  <c:v>1.6209983813114759</c:v>
                </c:pt>
                <c:pt idx="172">
                  <c:v>1.6428289040768866</c:v>
                </c:pt>
                <c:pt idx="173">
                  <c:v>1.6649057949625559</c:v>
                </c:pt>
                <c:pt idx="174">
                  <c:v>1.687232400052316</c:v>
                </c:pt>
                <c:pt idx="175">
                  <c:v>1.7098121317000394</c:v>
                </c:pt>
                <c:pt idx="176">
                  <c:v>1.7326484701245197</c:v>
                </c:pt>
                <c:pt idx="177">
                  <c:v>1.7557449650512384</c:v>
                </c:pt>
                <c:pt idx="178">
                  <c:v>1.7791052374026142</c:v>
                </c:pt>
                <c:pt idx="179">
                  <c:v>1.8027329810383983</c:v>
                </c:pt>
                <c:pt idx="180">
                  <c:v>1.8266319645479649</c:v>
                </c:pt>
                <c:pt idx="181">
                  <c:v>1.8508060330962917</c:v>
                </c:pt>
                <c:pt idx="182">
                  <c:v>1.8752591103255198</c:v>
                </c:pt>
                <c:pt idx="183">
                  <c:v>1.8999952003140448</c:v>
                </c:pt>
                <c:pt idx="184">
                  <c:v>1.9250183895951565</c:v>
                </c:pt>
                <c:pt idx="185">
                  <c:v>1.9503328492373726</c:v>
                </c:pt>
                <c:pt idx="186">
                  <c:v>1.9759428369886434</c:v>
                </c:pt>
                <c:pt idx="187">
                  <c:v>2.001852699486725</c:v>
                </c:pt>
                <c:pt idx="188">
                  <c:v>2.0280668745381218</c:v>
                </c:pt>
                <c:pt idx="189">
                  <c:v>2.0545898934680777</c:v>
                </c:pt>
                <c:pt idx="190">
                  <c:v>2.0814263835441884</c:v>
                </c:pt>
                <c:pt idx="191">
                  <c:v>2.1085810704763563</c:v>
                </c:pt>
                <c:pt idx="192">
                  <c:v>2.1360587809959073</c:v>
                </c:pt>
                <c:pt idx="193">
                  <c:v>2.1638644455167655</c:v>
                </c:pt>
                <c:pt idx="194">
                  <c:v>2.1920031008817809</c:v>
                </c:pt>
                <c:pt idx="195">
                  <c:v>2.2204798931973642</c:v>
                </c:pt>
                <c:pt idx="196">
                  <c:v>2.2493000807597836</c:v>
                </c:pt>
                <c:pt idx="197">
                  <c:v>2.278469037076579</c:v>
                </c:pt>
                <c:pt idx="198">
                  <c:v>2.3079922539866939</c:v>
                </c:pt>
                <c:pt idx="199">
                  <c:v>2.337875344883142</c:v>
                </c:pt>
                <c:pt idx="200">
                  <c:v>2.3681240480421204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81.387363149574924</c:v>
                </c:pt>
                <c:pt idx="1">
                  <c:v>75.366763739163645</c:v>
                </c:pt>
                <c:pt idx="2">
                  <c:v>71.84493939616388</c:v>
                </c:pt>
                <c:pt idx="3">
                  <c:v>69.346165837357233</c:v>
                </c:pt>
                <c:pt idx="4">
                  <c:v>67.407967085800863</c:v>
                </c:pt>
                <c:pt idx="5">
                  <c:v>65.824344008698503</c:v>
                </c:pt>
                <c:pt idx="6">
                  <c:v>64.485410395181617</c:v>
                </c:pt>
                <c:pt idx="7">
                  <c:v>63.32557396996841</c:v>
                </c:pt>
                <c:pt idx="8">
                  <c:v>62.30252637060633</c:v>
                </c:pt>
                <c:pt idx="9">
                  <c:v>61.387379744223253</c:v>
                </c:pt>
                <c:pt idx="10">
                  <c:v>55.366830117672087</c:v>
                </c:pt>
                <c:pt idx="11">
                  <c:v>51.845088747489768</c:v>
                </c:pt>
                <c:pt idx="12">
                  <c:v>49.346431350033711</c:v>
                </c:pt>
                <c:pt idx="13">
                  <c:v>47.408381947767339</c:v>
                </c:pt>
                <c:pt idx="14">
                  <c:v>45.824941407130893</c:v>
                </c:pt>
                <c:pt idx="15">
                  <c:v>44.48622351632288</c:v>
                </c:pt>
                <c:pt idx="16">
                  <c:v>43.326635998958878</c:v>
                </c:pt>
                <c:pt idx="17">
                  <c:v>42.303870491314221</c:v>
                </c:pt>
                <c:pt idx="18">
                  <c:v>41.389039139075123</c:v>
                </c:pt>
                <c:pt idx="19">
                  <c:v>35.373466849168985</c:v>
                </c:pt>
                <c:pt idx="20">
                  <c:v>31.860018216196746</c:v>
                </c:pt>
                <c:pt idx="21">
                  <c:v>29.372964729466112</c:v>
                </c:pt>
                <c:pt idx="22">
                  <c:v>27.449824511011126</c:v>
                </c:pt>
                <c:pt idx="23">
                  <c:v>25.884590870775376</c:v>
                </c:pt>
                <c:pt idx="24">
                  <c:v>24.567368406470379</c:v>
                </c:pt>
                <c:pt idx="25">
                  <c:v>23.432554043942311</c:v>
                </c:pt>
                <c:pt idx="26">
                  <c:v>22.437827045591888</c:v>
                </c:pt>
                <c:pt idx="27">
                  <c:v>21.554285642585135</c:v>
                </c:pt>
                <c:pt idx="28">
                  <c:v>18.239187244644942</c:v>
                </c:pt>
                <c:pt idx="29">
                  <c:v>16.026369019725905</c:v>
                </c:pt>
                <c:pt idx="30">
                  <c:v>14.450178461263473</c:v>
                </c:pt>
                <c:pt idx="31">
                  <c:v>13.300892854791208</c:v>
                </c:pt>
                <c:pt idx="32">
                  <c:v>12.464554757826862</c:v>
                </c:pt>
                <c:pt idx="33">
                  <c:v>11.871332918157574</c:v>
                </c:pt>
                <c:pt idx="34">
                  <c:v>11.474649454289841</c:v>
                </c:pt>
                <c:pt idx="35">
                  <c:v>11.24138997114083</c:v>
                </c:pt>
                <c:pt idx="36">
                  <c:v>11.146755455689799</c:v>
                </c:pt>
                <c:pt idx="37">
                  <c:v>11.171250338702592</c:v>
                </c:pt>
                <c:pt idx="38">
                  <c:v>11.298691418896134</c:v>
                </c:pt>
                <c:pt idx="39">
                  <c:v>11.514674215827768</c:v>
                </c:pt>
                <c:pt idx="40">
                  <c:v>11.805170697675981</c:v>
                </c:pt>
                <c:pt idx="41">
                  <c:v>12.155048242636896</c:v>
                </c:pt>
                <c:pt idx="42">
                  <c:v>12.546391469537085</c:v>
                </c:pt>
                <c:pt idx="43">
                  <c:v>12.956660204569753</c:v>
                </c:pt>
                <c:pt idx="44">
                  <c:v>13.357025531330425</c:v>
                </c:pt>
                <c:pt idx="45">
                  <c:v>13.711754771779887</c:v>
                </c:pt>
                <c:pt idx="46">
                  <c:v>13.98009647912367</c:v>
                </c:pt>
                <c:pt idx="47">
                  <c:v>14.122039728514489</c:v>
                </c:pt>
                <c:pt idx="48">
                  <c:v>14.10752597377612</c:v>
                </c:pt>
                <c:pt idx="49">
                  <c:v>13.925382263847375</c:v>
                </c:pt>
                <c:pt idx="50">
                  <c:v>13.586555620128218</c:v>
                </c:pt>
                <c:pt idx="51">
                  <c:v>13.119348292741728</c:v>
                </c:pt>
                <c:pt idx="52">
                  <c:v>12.559893267218607</c:v>
                </c:pt>
                <c:pt idx="53">
                  <c:v>11.943289126751624</c:v>
                </c:pt>
                <c:pt idx="54">
                  <c:v>11.298485562069491</c:v>
                </c:pt>
                <c:pt idx="55">
                  <c:v>10.646835025729109</c:v>
                </c:pt>
                <c:pt idx="56">
                  <c:v>10.002809894025962</c:v>
                </c:pt>
                <c:pt idx="57">
                  <c:v>9.3755110224197029</c:v>
                </c:pt>
                <c:pt idx="58">
                  <c:v>8.770192018753221</c:v>
                </c:pt>
                <c:pt idx="59">
                  <c:v>8.1895010566239872</c:v>
                </c:pt>
                <c:pt idx="60">
                  <c:v>7.6343934302461838</c:v>
                </c:pt>
                <c:pt idx="61">
                  <c:v>7.1047646014998369</c:v>
                </c:pt>
                <c:pt idx="62">
                  <c:v>6.5998741479907466</c:v>
                </c:pt>
                <c:pt idx="63">
                  <c:v>6.1186229866702302</c:v>
                </c:pt>
                <c:pt idx="64">
                  <c:v>5.6597312479747668</c:v>
                </c:pt>
                <c:pt idx="65">
                  <c:v>5.2218502768856689</c:v>
                </c:pt>
                <c:pt idx="66">
                  <c:v>4.8036315313489872</c:v>
                </c:pt>
                <c:pt idx="67">
                  <c:v>4.4037675442458211</c:v>
                </c:pt>
                <c:pt idx="68">
                  <c:v>4.0210149327497611</c:v>
                </c:pt>
                <c:pt idx="69">
                  <c:v>3.6542059842546211</c:v>
                </c:pt>
                <c:pt idx="70">
                  <c:v>3.3022530717946195</c:v>
                </c:pt>
                <c:pt idx="71">
                  <c:v>2.9641486606020102</c:v>
                </c:pt>
                <c:pt idx="72">
                  <c:v>2.6389626927406646</c:v>
                </c:pt>
                <c:pt idx="73">
                  <c:v>2.3258385000577912</c:v>
                </c:pt>
                <c:pt idx="74">
                  <c:v>2.023987979766769</c:v>
                </c:pt>
                <c:pt idx="75">
                  <c:v>1.7326864952904057</c:v>
                </c:pt>
                <c:pt idx="76">
                  <c:v>1.4512677877066125</c:v>
                </c:pt>
                <c:pt idx="77">
                  <c:v>1.1791190677492138</c:v>
                </c:pt>
                <c:pt idx="78">
                  <c:v>0.91567638359378378</c:v>
                </c:pt>
                <c:pt idx="79">
                  <c:v>0.66042031168991344</c:v>
                </c:pt>
                <c:pt idx="80">
                  <c:v>0.41287198754120324</c:v>
                </c:pt>
                <c:pt idx="81">
                  <c:v>0.17258947455111615</c:v>
                </c:pt>
                <c:pt idx="82">
                  <c:v>-6.0835542141888327E-2</c:v>
                </c:pt>
                <c:pt idx="83">
                  <c:v>-0.28778075616602955</c:v>
                </c:pt>
                <c:pt idx="84">
                  <c:v>-0.50859595713914896</c:v>
                </c:pt>
                <c:pt idx="85">
                  <c:v>-0.72360548802766789</c:v>
                </c:pt>
                <c:pt idx="86">
                  <c:v>-0.93311046582983292</c:v>
                </c:pt>
                <c:pt idx="87">
                  <c:v>-1.1373907877959497</c:v>
                </c:pt>
                <c:pt idx="88">
                  <c:v>-1.3367069440075683</c:v>
                </c:pt>
                <c:pt idx="89">
                  <c:v>-1.5313016555468018</c:v>
                </c:pt>
                <c:pt idx="90">
                  <c:v>-1.7214013558348096</c:v>
                </c:pt>
                <c:pt idx="91">
                  <c:v>-1.907217531088947</c:v>
                </c:pt>
                <c:pt idx="92">
                  <c:v>-2.088947934293532</c:v>
                </c:pt>
                <c:pt idx="93">
                  <c:v>-2.2667776856260673</c:v>
                </c:pt>
                <c:pt idx="94">
                  <c:v>-2.4408802709430866</c:v>
                </c:pt>
                <c:pt idx="95">
                  <c:v>-2.6114184487112575</c:v>
                </c:pt>
                <c:pt idx="96">
                  <c:v>-2.7785450746667011</c:v>
                </c:pt>
                <c:pt idx="97">
                  <c:v>-2.9424038524947123</c:v>
                </c:pt>
                <c:pt idx="98">
                  <c:v>-3.1031300179336414</c:v>
                </c:pt>
                <c:pt idx="99">
                  <c:v>-3.2608509629138016</c:v>
                </c:pt>
                <c:pt idx="100">
                  <c:v>-3.4156868056350485</c:v>
                </c:pt>
                <c:pt idx="101">
                  <c:v>-3.567750911857563</c:v>
                </c:pt>
                <c:pt idx="102">
                  <c:v>-3.7171503721203694</c:v>
                </c:pt>
                <c:pt idx="103">
                  <c:v>-3.8639864391049721</c:v>
                </c:pt>
                <c:pt idx="104">
                  <c:v>-4.0083549289190117</c:v>
                </c:pt>
                <c:pt idx="105">
                  <c:v>-4.1503465896822016</c:v>
                </c:pt>
                <c:pt idx="106">
                  <c:v>-4.2900474404471396</c:v>
                </c:pt>
                <c:pt idx="107">
                  <c:v>-4.4275390831772512</c:v>
                </c:pt>
                <c:pt idx="108">
                  <c:v>-4.5628989902273611</c:v>
                </c:pt>
                <c:pt idx="109">
                  <c:v>-4.6962007695263566</c:v>
                </c:pt>
                <c:pt idx="110">
                  <c:v>-4.8275144094419966</c:v>
                </c:pt>
                <c:pt idx="111">
                  <c:v>-4.9569065051122907</c:v>
                </c:pt>
                <c:pt idx="112">
                  <c:v>-5.0844404678531641</c:v>
                </c:pt>
                <c:pt idx="113">
                  <c:v>-5.2101767190962498</c:v>
                </c:pt>
                <c:pt idx="114">
                  <c:v>-5.3341728701710078</c:v>
                </c:pt>
                <c:pt idx="115">
                  <c:v>-5.4564838891205323</c:v>
                </c:pt>
                <c:pt idx="116">
                  <c:v>-5.5771622556285365</c:v>
                </c:pt>
                <c:pt idx="117">
                  <c:v>-5.6962581050345893</c:v>
                </c:pt>
                <c:pt idx="118">
                  <c:v>-5.8138193623247574</c:v>
                </c:pt>
                <c:pt idx="119">
                  <c:v>-5.9298918669034792</c:v>
                </c:pt>
                <c:pt idx="120">
                  <c:v>-6.044519488880117</c:v>
                </c:pt>
                <c:pt idx="121">
                  <c:v>-6.1577442375377327</c:v>
                </c:pt>
                <c:pt idx="122">
                  <c:v>-6.2696063625925005</c:v>
                </c:pt>
                <c:pt idx="123">
                  <c:v>-6.3801444487990713</c:v>
                </c:pt>
                <c:pt idx="124">
                  <c:v>-6.4893955044087726</c:v>
                </c:pt>
                <c:pt idx="125">
                  <c:v>-6.5973950439440294</c:v>
                </c:pt>
                <c:pt idx="126">
                  <c:v>-6.7041771657130909</c:v>
                </c:pt>
                <c:pt idx="127">
                  <c:v>-6.8097746244531701</c:v>
                </c:pt>
                <c:pt idx="128">
                  <c:v>-6.9142188994580724</c:v>
                </c:pt>
                <c:pt idx="129">
                  <c:v>-7.0175402585166315</c:v>
                </c:pt>
                <c:pt idx="130">
                  <c:v>-7.1197678179618276</c:v>
                </c:pt>
                <c:pt idx="131">
                  <c:v>-7.2209295991060829</c:v>
                </c:pt>
                <c:pt idx="132">
                  <c:v>-7.3210525813161373</c:v>
                </c:pt>
                <c:pt idx="133">
                  <c:v>-7.4201627519607829</c:v>
                </c:pt>
                <c:pt idx="134">
                  <c:v>-7.5182851534463611</c:v>
                </c:pt>
                <c:pt idx="135">
                  <c:v>-7.6154439275382266</c:v>
                </c:pt>
                <c:pt idx="136">
                  <c:v>-7.711662357151063</c:v>
                </c:pt>
                <c:pt idx="137">
                  <c:v>-7.8069629057768513</c:v>
                </c:pt>
                <c:pt idx="138">
                  <c:v>-7.9013672547067095</c:v>
                </c:pt>
                <c:pt idx="139">
                  <c:v>-7.9948963381908591</c:v>
                </c:pt>
                <c:pt idx="140">
                  <c:v>-8.0875703766704934</c:v>
                </c:pt>
                <c:pt idx="141">
                  <c:v>-8.1794089082051524</c:v>
                </c:pt>
                <c:pt idx="142">
                  <c:v>-8.2704308182105279</c:v>
                </c:pt>
                <c:pt idx="143">
                  <c:v>-8.3606543676131153</c:v>
                </c:pt>
                <c:pt idx="144">
                  <c:v>-8.4500972195203712</c:v>
                </c:pt>
                <c:pt idx="145">
                  <c:v>-8.5387764644984117</c:v>
                </c:pt>
                <c:pt idx="146">
                  <c:v>-8.6267086445424042</c:v>
                </c:pt>
                <c:pt idx="147">
                  <c:v>-8.7139097758190118</c:v>
                </c:pt>
                <c:pt idx="148">
                  <c:v>-8.8003953702549378</c:v>
                </c:pt>
                <c:pt idx="149">
                  <c:v>-8.8861804560401563</c:v>
                </c:pt>
                <c:pt idx="150">
                  <c:v>-8.9712795971101258</c:v>
                </c:pt>
                <c:pt idx="151">
                  <c:v>-9.0557069116666664</c:v>
                </c:pt>
                <c:pt idx="152">
                  <c:v>-9.1394760897933942</c:v>
                </c:pt>
                <c:pt idx="153">
                  <c:v>-9.2226004102177477</c:v>
                </c:pt>
                <c:pt idx="154">
                  <c:v>-9.3050927562683636</c:v>
                </c:pt>
                <c:pt idx="155">
                  <c:v>-9.3869656310731902</c:v>
                </c:pt>
                <c:pt idx="156">
                  <c:v>-9.4682311720410421</c:v>
                </c:pt>
                <c:pt idx="157">
                  <c:v>-9.548901164666276</c:v>
                </c:pt>
                <c:pt idx="158">
                  <c:v>-9.6289870556940613</c:v>
                </c:pt>
                <c:pt idx="159">
                  <c:v>-9.7084999656810425</c:v>
                </c:pt>
                <c:pt idx="160">
                  <c:v>-9.7874507009842517</c:v>
                </c:pt>
                <c:pt idx="161">
                  <c:v>-9.8658497652089299</c:v>
                </c:pt>
                <c:pt idx="162">
                  <c:v>-9.9437073701441658</c:v>
                </c:pt>
                <c:pt idx="163">
                  <c:v>-10.021033446213414</c:v>
                </c:pt>
                <c:pt idx="164">
                  <c:v>-10.097837652465245</c:v>
                </c:pt>
                <c:pt idx="165">
                  <c:v>-10.174129386128367</c:v>
                </c:pt>
                <c:pt idx="166">
                  <c:v>-10.249917791753283</c:v>
                </c:pt>
                <c:pt idx="167">
                  <c:v>-10.325211769961824</c:v>
                </c:pt>
                <c:pt idx="168">
                  <c:v>-10.400019985824422</c:v>
                </c:pt>
                <c:pt idx="169">
                  <c:v>-10.474350876883832</c:v>
                </c:pt>
                <c:pt idx="170">
                  <c:v>-10.548212660843069</c:v>
                </c:pt>
                <c:pt idx="171">
                  <c:v>-10.621613342934156</c:v>
                </c:pt>
                <c:pt idx="172">
                  <c:v>-10.69456072298329</c:v>
                </c:pt>
                <c:pt idx="173">
                  <c:v>-10.767062402187488</c:v>
                </c:pt>
                <c:pt idx="174">
                  <c:v>-10.839125789616396</c:v>
                </c:pt>
                <c:pt idx="175">
                  <c:v>-10.910758108452692</c:v>
                </c:pt>
                <c:pt idx="176">
                  <c:v>-10.981966401983463</c:v>
                </c:pt>
                <c:pt idx="177">
                  <c:v>-11.052757539354317</c:v>
                </c:pt>
                <c:pt idx="178">
                  <c:v>-11.123138221097484</c:v>
                </c:pt>
                <c:pt idx="179">
                  <c:v>-11.193114984444335</c:v>
                </c:pt>
                <c:pt idx="180">
                  <c:v>-11.262694208432348</c:v>
                </c:pt>
                <c:pt idx="181">
                  <c:v>-11.331882118815994</c:v>
                </c:pt>
                <c:pt idx="182">
                  <c:v>-11.400684792790411</c:v>
                </c:pt>
                <c:pt idx="183">
                  <c:v>-11.469108163536436</c:v>
                </c:pt>
                <c:pt idx="184">
                  <c:v>-11.537158024594955</c:v>
                </c:pt>
                <c:pt idx="185">
                  <c:v>-11.604840034078199</c:v>
                </c:pt>
                <c:pt idx="186">
                  <c:v>-11.67215971872524</c:v>
                </c:pt>
                <c:pt idx="187">
                  <c:v>-11.739122477808532</c:v>
                </c:pt>
                <c:pt idx="188">
                  <c:v>-11.805733586898</c:v>
                </c:pt>
                <c:pt idx="189">
                  <c:v>-11.871998201488793</c:v>
                </c:pt>
                <c:pt idx="190">
                  <c:v>-11.937921360498718</c:v>
                </c:pt>
                <c:pt idx="191">
                  <c:v>-12.003507989640758</c:v>
                </c:pt>
                <c:pt idx="192">
                  <c:v>-12.068762904676149</c:v>
                </c:pt>
                <c:pt idx="193">
                  <c:v>-12.133690814552882</c:v>
                </c:pt>
                <c:pt idx="194">
                  <c:v>-12.198296324434565</c:v>
                </c:pt>
                <c:pt idx="195">
                  <c:v>-12.262583938624161</c:v>
                </c:pt>
                <c:pt idx="196">
                  <c:v>-12.326558063386875</c:v>
                </c:pt>
                <c:pt idx="197">
                  <c:v>-12.390223009676497</c:v>
                </c:pt>
                <c:pt idx="198">
                  <c:v>-12.453582995768947</c:v>
                </c:pt>
                <c:pt idx="199">
                  <c:v>-12.51664214980689</c:v>
                </c:pt>
                <c:pt idx="200">
                  <c:v>-12.579404512258996</c:v>
                </c:pt>
                <c:pt idx="201">
                  <c:v>-12.641874038297203</c:v>
                </c:pt>
                <c:pt idx="202">
                  <c:v>-12.704054600095301</c:v>
                </c:pt>
                <c:pt idx="203">
                  <c:v>-12.765949989051844</c:v>
                </c:pt>
                <c:pt idx="204">
                  <c:v>-12.827563917940509</c:v>
                </c:pt>
                <c:pt idx="205">
                  <c:v>-12.888900022990541</c:v>
                </c:pt>
                <c:pt idx="206">
                  <c:v>-12.949961865900141</c:v>
                </c:pt>
                <c:pt idx="207">
                  <c:v>-13.01075293578527</c:v>
                </c:pt>
                <c:pt idx="208">
                  <c:v>-13.07127665106643</c:v>
                </c:pt>
                <c:pt idx="209">
                  <c:v>-13.131536361295639</c:v>
                </c:pt>
                <c:pt idx="210">
                  <c:v>-13.19153534892604</c:v>
                </c:pt>
                <c:pt idx="211">
                  <c:v>-13.251276831026082</c:v>
                </c:pt>
                <c:pt idx="212">
                  <c:v>-13.310763960940534</c:v>
                </c:pt>
                <c:pt idx="213">
                  <c:v>-13.369999829900152</c:v>
                </c:pt>
                <c:pt idx="214">
                  <c:v>-13.428987468581951</c:v>
                </c:pt>
                <c:pt idx="215">
                  <c:v>-13.48772984862191</c:v>
                </c:pt>
                <c:pt idx="216">
                  <c:v>-13.546229884081749</c:v>
                </c:pt>
                <c:pt idx="217">
                  <c:v>-13.604490432871554</c:v>
                </c:pt>
                <c:pt idx="218">
                  <c:v>-13.662514298129729</c:v>
                </c:pt>
                <c:pt idx="219">
                  <c:v>-13.720304229561828</c:v>
                </c:pt>
                <c:pt idx="220">
                  <c:v>-13.777862924739811</c:v>
                </c:pt>
                <c:pt idx="221">
                  <c:v>-13.835193030362927</c:v>
                </c:pt>
                <c:pt idx="222">
                  <c:v>-13.892297143481802</c:v>
                </c:pt>
                <c:pt idx="223">
                  <c:v>-13.949177812686784</c:v>
                </c:pt>
                <c:pt idx="224">
                  <c:v>-14.005837539261989</c:v>
                </c:pt>
                <c:pt idx="225">
                  <c:v>-14.062278778306055</c:v>
                </c:pt>
                <c:pt idx="226">
                  <c:v>-14.615183543636261</c:v>
                </c:pt>
                <c:pt idx="227">
                  <c:v>-15.148635495318398</c:v>
                </c:pt>
                <c:pt idx="228">
                  <c:v>-15.664472864552536</c:v>
                </c:pt>
                <c:pt idx="229">
                  <c:v>-16.164250900604692</c:v>
                </c:pt>
                <c:pt idx="230">
                  <c:v>-16.649295918064571</c:v>
                </c:pt>
                <c:pt idx="231">
                  <c:v>-17.120747446263053</c:v>
                </c:pt>
                <c:pt idx="232">
                  <c:v>-17.579591449457222</c:v>
                </c:pt>
                <c:pt idx="233">
                  <c:v>-18.026686756117286</c:v>
                </c:pt>
                <c:pt idx="234">
                  <c:v>-18.462786261807345</c:v>
                </c:pt>
                <c:pt idx="235">
                  <c:v>-18.888554066686449</c:v>
                </c:pt>
                <c:pt idx="236">
                  <c:v>-19.304579420458509</c:v>
                </c:pt>
                <c:pt idx="237">
                  <c:v>-19.711388138705775</c:v>
                </c:pt>
                <c:pt idx="238">
                  <c:v>-20.10945200106714</c:v>
                </c:pt>
                <c:pt idx="239">
                  <c:v>-20.499196527548015</c:v>
                </c:pt>
                <c:pt idx="240">
                  <c:v>-20.881007443324485</c:v>
                </c:pt>
                <c:pt idx="241">
                  <c:v>-21.255236077049382</c:v>
                </c:pt>
                <c:pt idx="242">
                  <c:v>-21.622203887470537</c:v>
                </c:pt>
                <c:pt idx="243">
                  <c:v>-21.982206274268389</c:v>
                </c:pt>
                <c:pt idx="244">
                  <c:v>-22.335515798622275</c:v>
                </c:pt>
                <c:pt idx="245">
                  <c:v>-22.682384915084441</c:v>
                </c:pt>
                <c:pt idx="246">
                  <c:v>-23.023048297371965</c:v>
                </c:pt>
                <c:pt idx="247">
                  <c:v>-23.357724825558005</c:v>
                </c:pt>
                <c:pt idx="248">
                  <c:v>-23.686619290008579</c:v>
                </c:pt>
                <c:pt idx="249">
                  <c:v>-24.009923857626632</c:v>
                </c:pt>
                <c:pt idx="250">
                  <c:v>-24.327819338039802</c:v>
                </c:pt>
                <c:pt idx="251">
                  <c:v>-24.640476280919966</c:v>
                </c:pt>
                <c:pt idx="252">
                  <c:v>-24.948055930356819</c:v>
                </c:pt>
                <c:pt idx="253">
                  <c:v>-25.250711057890854</c:v>
                </c:pt>
                <c:pt idx="254">
                  <c:v>-25.548586692261431</c:v>
                </c:pt>
                <c:pt idx="255">
                  <c:v>-25.841820760996839</c:v>
                </c:pt>
                <c:pt idx="256">
                  <c:v>-26.130544656551159</c:v>
                </c:pt>
                <c:pt idx="257">
                  <c:v>-26.41488373768275</c:v>
                </c:pt>
                <c:pt idx="258">
                  <c:v>-26.694957775098732</c:v>
                </c:pt>
                <c:pt idx="259">
                  <c:v>-26.970881348996656</c:v>
                </c:pt>
                <c:pt idx="260">
                  <c:v>-27.242764204971508</c:v>
                </c:pt>
                <c:pt idx="261">
                  <c:v>-27.510711573781869</c:v>
                </c:pt>
                <c:pt idx="262">
                  <c:v>-27.774824459652407</c:v>
                </c:pt>
                <c:pt idx="263">
                  <c:v>-28.035199901102654</c:v>
                </c:pt>
                <c:pt idx="264">
                  <c:v>-28.291931207713972</c:v>
                </c:pt>
                <c:pt idx="265">
                  <c:v>-28.545108175758671</c:v>
                </c:pt>
                <c:pt idx="266">
                  <c:v>-28.794817285202257</c:v>
                </c:pt>
                <c:pt idx="267">
                  <c:v>-29.041141880241021</c:v>
                </c:pt>
                <c:pt idx="268">
                  <c:v>-29.284162335240204</c:v>
                </c:pt>
                <c:pt idx="269">
                  <c:v>-29.523956207686567</c:v>
                </c:pt>
                <c:pt idx="270">
                  <c:v>-29.760598379553965</c:v>
                </c:pt>
                <c:pt idx="271">
                  <c:v>-29.994161188298296</c:v>
                </c:pt>
                <c:pt idx="272">
                  <c:v>-30.224714548541073</c:v>
                </c:pt>
                <c:pt idx="273">
                  <c:v>-30.452326065367316</c:v>
                </c:pt>
                <c:pt idx="274">
                  <c:v>-30.677061140048355</c:v>
                </c:pt>
                <c:pt idx="275">
                  <c:v>-30.898983068901593</c:v>
                </c:pt>
                <c:pt idx="276">
                  <c:v>-31.118153135913769</c:v>
                </c:pt>
                <c:pt idx="277">
                  <c:v>-31.334630699681458</c:v>
                </c:pt>
                <c:pt idx="278">
                  <c:v>-31.548473275158486</c:v>
                </c:pt>
                <c:pt idx="279">
                  <c:v>-31.759736610645284</c:v>
                </c:pt>
                <c:pt idx="280">
                  <c:v>-31.96847476040746</c:v>
                </c:pt>
                <c:pt idx="281">
                  <c:v>-32.174740153268949</c:v>
                </c:pt>
                <c:pt idx="282">
                  <c:v>-32.378583657489386</c:v>
                </c:pt>
                <c:pt idx="283">
                  <c:v>-32.580054642203194</c:v>
                </c:pt>
                <c:pt idx="284">
                  <c:v>-32.779201035670383</c:v>
                </c:pt>
                <c:pt idx="285">
                  <c:v>-32.976069380564631</c:v>
                </c:pt>
                <c:pt idx="286">
                  <c:v>-33.170704886502804</c:v>
                </c:pt>
                <c:pt idx="287">
                  <c:v>-33.363151480000923</c:v>
                </c:pt>
                <c:pt idx="288">
                  <c:v>-33.553451852025297</c:v>
                </c:pt>
                <c:pt idx="289">
                  <c:v>-33.741647503292185</c:v>
                </c:pt>
                <c:pt idx="290">
                  <c:v>-33.927778787456567</c:v>
                </c:pt>
                <c:pt idx="291">
                  <c:v>-34.111884952318654</c:v>
                </c:pt>
                <c:pt idx="292">
                  <c:v>-34.294004179166244</c:v>
                </c:pt>
                <c:pt idx="293">
                  <c:v>-34.474173620361867</c:v>
                </c:pt>
                <c:pt idx="294">
                  <c:v>-34.652429435274975</c:v>
                </c:pt>
                <c:pt idx="295">
                  <c:v>-34.828806824651835</c:v>
                </c:pt>
                <c:pt idx="296">
                  <c:v>-35.003340063509327</c:v>
                </c:pt>
                <c:pt idx="297">
                  <c:v>-35.176062532632073</c:v>
                </c:pt>
                <c:pt idx="298">
                  <c:v>-35.347006748747198</c:v>
                </c:pt>
                <c:pt idx="299">
                  <c:v>-35.516204393445719</c:v>
                </c:pt>
                <c:pt idx="300">
                  <c:v>-35.683686340914889</c:v>
                </c:pt>
                <c:pt idx="301">
                  <c:v>-35.849482684541734</c:v>
                </c:pt>
                <c:pt idx="302">
                  <c:v>-36.013622762443937</c:v>
                </c:pt>
                <c:pt idx="303">
                  <c:v>-36.17613518198096</c:v>
                </c:pt>
                <c:pt idx="304">
                  <c:v>-36.337047843294712</c:v>
                </c:pt>
                <c:pt idx="305">
                  <c:v>-36.496387961926338</c:v>
                </c:pt>
                <c:pt idx="306">
                  <c:v>-36.654182090552816</c:v>
                </c:pt>
                <c:pt idx="307">
                  <c:v>-36.810456139884423</c:v>
                </c:pt>
                <c:pt idx="308">
                  <c:v>-36.965235398761976</c:v>
                </c:pt>
                <c:pt idx="309">
                  <c:v>-37.118544553490366</c:v>
                </c:pt>
                <c:pt idx="310">
                  <c:v>-37.270407706442924</c:v>
                </c:pt>
                <c:pt idx="311">
                  <c:v>-37.420848393969337</c:v>
                </c:pt>
                <c:pt idx="312">
                  <c:v>-37.569889603637975</c:v>
                </c:pt>
                <c:pt idx="313">
                  <c:v>-37.717553790841848</c:v>
                </c:pt>
                <c:pt idx="314">
                  <c:v>-37.863862894796021</c:v>
                </c:pt>
                <c:pt idx="315">
                  <c:v>-38.008838353952619</c:v>
                </c:pt>
                <c:pt idx="316">
                  <c:v>-38.152501120858446</c:v>
                </c:pt>
                <c:pt idx="317">
                  <c:v>-38.294871676478927</c:v>
                </c:pt>
                <c:pt idx="318">
                  <c:v>-38.435970044010745</c:v>
                </c:pt>
                <c:pt idx="319">
                  <c:v>-38.575815802204602</c:v>
                </c:pt>
                <c:pt idx="320">
                  <c:v>-38.714428098218519</c:v>
                </c:pt>
                <c:pt idx="321">
                  <c:v>-38.851825660020872</c:v>
                </c:pt>
                <c:pt idx="322">
                  <c:v>-38.988026808361688</c:v>
                </c:pt>
                <c:pt idx="323">
                  <c:v>-39.12304946832969</c:v>
                </c:pt>
                <c:pt idx="324">
                  <c:v>-39.256911180511835</c:v>
                </c:pt>
                <c:pt idx="325">
                  <c:v>-39.389629111771278</c:v>
                </c:pt>
                <c:pt idx="326">
                  <c:v>-39.521220065658973</c:v>
                </c:pt>
                <c:pt idx="327">
                  <c:v>-39.651700492473296</c:v>
                </c:pt>
                <c:pt idx="328">
                  <c:v>-39.781086498981779</c:v>
                </c:pt>
                <c:pt idx="329">
                  <c:v>-39.909393857817911</c:v>
                </c:pt>
                <c:pt idx="330">
                  <c:v>-40.036638016565753</c:v>
                </c:pt>
                <c:pt idx="331">
                  <c:v>-40.162834106544466</c:v>
                </c:pt>
                <c:pt idx="332">
                  <c:v>-40.287996951304159</c:v>
                </c:pt>
                <c:pt idx="333">
                  <c:v>-40.412141074844179</c:v>
                </c:pt>
                <c:pt idx="334">
                  <c:v>-40.535280709564397</c:v>
                </c:pt>
                <c:pt idx="335">
                  <c:v>-40.657429803959431</c:v>
                </c:pt>
                <c:pt idx="336">
                  <c:v>-40.778602030065656</c:v>
                </c:pt>
                <c:pt idx="337">
                  <c:v>-40.898810790670062</c:v>
                </c:pt>
                <c:pt idx="338">
                  <c:v>-41.018069226289946</c:v>
                </c:pt>
                <c:pt idx="339">
                  <c:v>-41.136390221931777</c:v>
                </c:pt>
                <c:pt idx="340">
                  <c:v>-41.253786413637535</c:v>
                </c:pt>
                <c:pt idx="341">
                  <c:v>-41.37027019482602</c:v>
                </c:pt>
                <c:pt idx="342">
                  <c:v>-41.485853722436872</c:v>
                </c:pt>
                <c:pt idx="343">
                  <c:v>-41.6005489228843</c:v>
                </c:pt>
                <c:pt idx="344">
                  <c:v>-41.714367497827425</c:v>
                </c:pt>
                <c:pt idx="345">
                  <c:v>-41.827320929763644</c:v>
                </c:pt>
                <c:pt idx="346">
                  <c:v>-41.939420487451642</c:v>
                </c:pt>
                <c:pt idx="347">
                  <c:v>-42.050677231169821</c:v>
                </c:pt>
                <c:pt idx="348">
                  <c:v>-42.161102017816035</c:v>
                </c:pt>
                <c:pt idx="349">
                  <c:v>-42.270705505854302</c:v>
                </c:pt>
                <c:pt idx="350">
                  <c:v>-42.379498160113684</c:v>
                </c:pt>
                <c:pt idx="351">
                  <c:v>-42.487490256444573</c:v>
                </c:pt>
                <c:pt idx="352">
                  <c:v>-42.594691886237371</c:v>
                </c:pt>
                <c:pt idx="353">
                  <c:v>-42.701112960808146</c:v>
                </c:pt>
                <c:pt idx="354">
                  <c:v>-42.806763215656012</c:v>
                </c:pt>
                <c:pt idx="355">
                  <c:v>-42.911652214596458</c:v>
                </c:pt>
                <c:pt idx="356">
                  <c:v>-43.015789353774892</c:v>
                </c:pt>
                <c:pt idx="357">
                  <c:v>-43.119183865564608</c:v>
                </c:pt>
                <c:pt idx="358">
                  <c:v>-43.221844822352686</c:v>
                </c:pt>
                <c:pt idx="359">
                  <c:v>-43.323781140218038</c:v>
                </c:pt>
                <c:pt idx="360">
                  <c:v>-43.425001582504848</c:v>
                </c:pt>
                <c:pt idx="361">
                  <c:v>-43.52551476329505</c:v>
                </c:pt>
                <c:pt idx="362">
                  <c:v>-43.625329150783131</c:v>
                </c:pt>
                <c:pt idx="363">
                  <c:v>-43.724453070556507</c:v>
                </c:pt>
                <c:pt idx="364">
                  <c:v>-43.822894708784489</c:v>
                </c:pt>
                <c:pt idx="365">
                  <c:v>-43.920662115318876</c:v>
                </c:pt>
                <c:pt idx="366">
                  <c:v>-44.017763206709091</c:v>
                </c:pt>
                <c:pt idx="367">
                  <c:v>-44.114205769134514</c:v>
                </c:pt>
                <c:pt idx="368">
                  <c:v>-44.209997461256727</c:v>
                </c:pt>
                <c:pt idx="369">
                  <c:v>-44.305145816994226</c:v>
                </c:pt>
                <c:pt idx="370">
                  <c:v>-44.399658248222174</c:v>
                </c:pt>
                <c:pt idx="371">
                  <c:v>-44.49354204739933</c:v>
                </c:pt>
                <c:pt idx="372">
                  <c:v>-44.586804390124762</c:v>
                </c:pt>
                <c:pt idx="373">
                  <c:v>-44.679452337626259</c:v>
                </c:pt>
                <c:pt idx="374">
                  <c:v>-44.771492839182862</c:v>
                </c:pt>
                <c:pt idx="375">
                  <c:v>-44.86293273448328</c:v>
                </c:pt>
                <c:pt idx="376">
                  <c:v>-44.953778755922499</c:v>
                </c:pt>
                <c:pt idx="377">
                  <c:v>-45.044037530838146</c:v>
                </c:pt>
                <c:pt idx="378">
                  <c:v>-45.133715583688819</c:v>
                </c:pt>
                <c:pt idx="379">
                  <c:v>-45.222819338175853</c:v>
                </c:pt>
                <c:pt idx="380">
                  <c:v>-45.311355119310434</c:v>
                </c:pt>
                <c:pt idx="381">
                  <c:v>-45.399329155427701</c:v>
                </c:pt>
                <c:pt idx="382">
                  <c:v>-45.486747580149384</c:v>
                </c:pt>
                <c:pt idx="383">
                  <c:v>-45.57361643429654</c:v>
                </c:pt>
                <c:pt idx="384">
                  <c:v>-45.659941667753905</c:v>
                </c:pt>
                <c:pt idx="385">
                  <c:v>-45.745729141287363</c:v>
                </c:pt>
                <c:pt idx="386">
                  <c:v>-45.830984628315733</c:v>
                </c:pt>
                <c:pt idx="387">
                  <c:v>-45.915713816638572</c:v>
                </c:pt>
                <c:pt idx="388">
                  <c:v>-45.999922310120823</c:v>
                </c:pt>
                <c:pt idx="389">
                  <c:v>-46.083615630336084</c:v>
                </c:pt>
                <c:pt idx="390">
                  <c:v>-46.16679921816926</c:v>
                </c:pt>
                <c:pt idx="391">
                  <c:v>-46.249478435380141</c:v>
                </c:pt>
                <c:pt idx="392">
                  <c:v>-46.331658566128759</c:v>
                </c:pt>
                <c:pt idx="393">
                  <c:v>-46.413344818463813</c:v>
                </c:pt>
                <c:pt idx="394">
                  <c:v>-46.494542325775122</c:v>
                </c:pt>
                <c:pt idx="395">
                  <c:v>-46.575256148211267</c:v>
                </c:pt>
                <c:pt idx="396">
                  <c:v>-46.655491274063195</c:v>
                </c:pt>
                <c:pt idx="397">
                  <c:v>-46.735252621114967</c:v>
                </c:pt>
                <c:pt idx="398">
                  <c:v>-46.814545037962489</c:v>
                </c:pt>
                <c:pt idx="399">
                  <c:v>-46.89337330530109</c:v>
                </c:pt>
                <c:pt idx="400">
                  <c:v>-46.971742137182972</c:v>
                </c:pt>
                <c:pt idx="401">
                  <c:v>-47.049656182245073</c:v>
                </c:pt>
                <c:pt idx="402">
                  <c:v>-47.127120024908635</c:v>
                </c:pt>
                <c:pt idx="403">
                  <c:v>-47.204138186550715</c:v>
                </c:pt>
                <c:pt idx="404">
                  <c:v>-47.280715126648893</c:v>
                </c:pt>
                <c:pt idx="405">
                  <c:v>-47.356855243899602</c:v>
                </c:pt>
                <c:pt idx="406">
                  <c:v>-47.432562877310971</c:v>
                </c:pt>
                <c:pt idx="407">
                  <c:v>-47.507842307270764</c:v>
                </c:pt>
                <c:pt idx="408">
                  <c:v>-47.582697756590164</c:v>
                </c:pt>
                <c:pt idx="409">
                  <c:v>-47.657133391524084</c:v>
                </c:pt>
                <c:pt idx="410">
                  <c:v>-47.731153322768506</c:v>
                </c:pt>
                <c:pt idx="411">
                  <c:v>-47.804761606435619</c:v>
                </c:pt>
                <c:pt idx="412">
                  <c:v>-47.877962245007254</c:v>
                </c:pt>
                <c:pt idx="413">
                  <c:v>-47.95075918826722</c:v>
                </c:pt>
                <c:pt idx="414">
                  <c:v>-48.023156334213091</c:v>
                </c:pt>
                <c:pt idx="415">
                  <c:v>-48.09515752994799</c:v>
                </c:pt>
                <c:pt idx="416">
                  <c:v>-48.166766572552994</c:v>
                </c:pt>
                <c:pt idx="417">
                  <c:v>-48.237987209940442</c:v>
                </c:pt>
                <c:pt idx="418">
                  <c:v>-48.308823141688848</c:v>
                </c:pt>
                <c:pt idx="419">
                  <c:v>-48.379278019859882</c:v>
                </c:pt>
                <c:pt idx="420">
                  <c:v>-48.4493554497977</c:v>
                </c:pt>
                <c:pt idx="421">
                  <c:v>-48.519058990911368</c:v>
                </c:pt>
                <c:pt idx="422">
                  <c:v>-48.588392157440495</c:v>
                </c:pt>
                <c:pt idx="423">
                  <c:v>-48.657358419204826</c:v>
                </c:pt>
                <c:pt idx="424">
                  <c:v>-48.725961202337899</c:v>
                </c:pt>
                <c:pt idx="425">
                  <c:v>-48.794203890005434</c:v>
                </c:pt>
                <c:pt idx="426">
                  <c:v>-48.862089823108633</c:v>
                </c:pt>
                <c:pt idx="427">
                  <c:v>-48.929622300972966</c:v>
                </c:pt>
                <c:pt idx="428">
                  <c:v>-48.996804582022541</c:v>
                </c:pt>
                <c:pt idx="429">
                  <c:v>-49.063639884440761</c:v>
                </c:pt>
                <c:pt idx="430">
                  <c:v>-49.130131386817297</c:v>
                </c:pt>
                <c:pt idx="431">
                  <c:v>-49.196282228781918</c:v>
                </c:pt>
                <c:pt idx="432">
                  <c:v>-49.262095511625425</c:v>
                </c:pt>
                <c:pt idx="433">
                  <c:v>-49.327574298907926</c:v>
                </c:pt>
                <c:pt idx="434">
                  <c:v>-49.392721617055024</c:v>
                </c:pt>
                <c:pt idx="435">
                  <c:v>-49.457540455941846</c:v>
                </c:pt>
                <c:pt idx="436">
                  <c:v>-49.522033769465594</c:v>
                </c:pt>
                <c:pt idx="437">
                  <c:v>-49.586204476106502</c:v>
                </c:pt>
                <c:pt idx="438">
                  <c:v>-49.65005545947789</c:v>
                </c:pt>
                <c:pt idx="439">
                  <c:v>-49.713589568865181</c:v>
                </c:pt>
                <c:pt idx="440">
                  <c:v>-49.776809619754452</c:v>
                </c:pt>
                <c:pt idx="441">
                  <c:v>-49.839718394350669</c:v>
                </c:pt>
                <c:pt idx="442">
                  <c:v>-49.902318642085689</c:v>
                </c:pt>
                <c:pt idx="443">
                  <c:v>-49.96461308011655</c:v>
                </c:pt>
                <c:pt idx="444">
                  <c:v>-50.026604393814139</c:v>
                </c:pt>
                <c:pt idx="445">
                  <c:v>-50.088295237242349</c:v>
                </c:pt>
                <c:pt idx="446">
                  <c:v>-50.149688233628211</c:v>
                </c:pt>
                <c:pt idx="447">
                  <c:v>-50.210785975822958</c:v>
                </c:pt>
                <c:pt idx="448">
                  <c:v>-50.271591026754407</c:v>
                </c:pt>
                <c:pt idx="449">
                  <c:v>-50.332105919870784</c:v>
                </c:pt>
                <c:pt idx="450">
                  <c:v>-50.392333159576161</c:v>
                </c:pt>
                <c:pt idx="451">
                  <c:v>-50.45227522165775</c:v>
                </c:pt>
                <c:pt idx="452">
                  <c:v>-50.511934553705267</c:v>
                </c:pt>
                <c:pt idx="453">
                  <c:v>-50.571313575522446</c:v>
                </c:pt>
                <c:pt idx="454">
                  <c:v>-50.630414679530986</c:v>
                </c:pt>
                <c:pt idx="455">
                  <c:v>-50.689240231167041</c:v>
                </c:pt>
                <c:pt idx="456">
                  <c:v>-50.747792569270381</c:v>
                </c:pt>
                <c:pt idx="457">
                  <c:v>-50.806074006466574</c:v>
                </c:pt>
                <c:pt idx="458">
                  <c:v>-50.864086829542074</c:v>
                </c:pt>
                <c:pt idx="459">
                  <c:v>-50.921833299812604</c:v>
                </c:pt>
                <c:pt idx="460">
                  <c:v>-50.979315653484853</c:v>
                </c:pt>
                <c:pt idx="461">
                  <c:v>-51.036536102011695</c:v>
                </c:pt>
                <c:pt idx="462">
                  <c:v>-51.093496832441005</c:v>
                </c:pt>
                <c:pt idx="463">
                  <c:v>-51.15020000775835</c:v>
                </c:pt>
                <c:pt idx="464">
                  <c:v>-51.206647767223515</c:v>
                </c:pt>
                <c:pt idx="465">
                  <c:v>-51.262842226701096</c:v>
                </c:pt>
                <c:pt idx="466">
                  <c:v>-51.318785478985291</c:v>
                </c:pt>
                <c:pt idx="467">
                  <c:v>-51.374479594118995</c:v>
                </c:pt>
                <c:pt idx="468">
                  <c:v>-51.429926619707317</c:v>
                </c:pt>
                <c:pt idx="469">
                  <c:v>-51.485128581225688</c:v>
                </c:pt>
                <c:pt idx="470">
                  <c:v>-51.540087482322505</c:v>
                </c:pt>
                <c:pt idx="471">
                  <c:v>-51.594805305116687</c:v>
                </c:pt>
                <c:pt idx="472">
                  <c:v>-51.649284010490113</c:v>
                </c:pt>
                <c:pt idx="473">
                  <c:v>-51.703525538374919</c:v>
                </c:pt>
                <c:pt idx="474">
                  <c:v>-51.757531808036092</c:v>
                </c:pt>
                <c:pt idx="475">
                  <c:v>-51.811304718349085</c:v>
                </c:pt>
                <c:pt idx="476">
                  <c:v>-51.864846148072857</c:v>
                </c:pt>
                <c:pt idx="477">
                  <c:v>-51.9181579561183</c:v>
                </c:pt>
                <c:pt idx="478">
                  <c:v>-51.971241981812064</c:v>
                </c:pt>
                <c:pt idx="479">
                  <c:v>-52.024100045156125</c:v>
                </c:pt>
                <c:pt idx="480">
                  <c:v>-52.076733947082886</c:v>
                </c:pt>
                <c:pt idx="481">
                  <c:v>-52.129145469706216</c:v>
                </c:pt>
                <c:pt idx="482">
                  <c:v>-52.18133637656809</c:v>
                </c:pt>
                <c:pt idx="483">
                  <c:v>-52.233308412881456</c:v>
                </c:pt>
                <c:pt idx="484">
                  <c:v>-52.285063305768929</c:v>
                </c:pt>
                <c:pt idx="485">
                  <c:v>-52.336602764497684</c:v>
                </c:pt>
                <c:pt idx="486">
                  <c:v>-52.3879284807104</c:v>
                </c:pt>
                <c:pt idx="487">
                  <c:v>-52.439042128652673</c:v>
                </c:pt>
                <c:pt idx="488">
                  <c:v>-52.489945365396544</c:v>
                </c:pt>
                <c:pt idx="489">
                  <c:v>-52.540639831060588</c:v>
                </c:pt>
                <c:pt idx="490">
                  <c:v>-52.591127149026391</c:v>
                </c:pt>
                <c:pt idx="491">
                  <c:v>-52.641408926151563</c:v>
                </c:pt>
                <c:pt idx="492">
                  <c:v>-52.691486752979479</c:v>
                </c:pt>
                <c:pt idx="493">
                  <c:v>-52.741362203945528</c:v>
                </c:pt>
                <c:pt idx="494">
                  <c:v>-52.791036837580251</c:v>
                </c:pt>
                <c:pt idx="495">
                  <c:v>-52.84051219670922</c:v>
                </c:pt>
                <c:pt idx="496">
                  <c:v>-52.889789808649788</c:v>
                </c:pt>
                <c:pt idx="497">
                  <c:v>-52.938871185404764</c:v>
                </c:pt>
                <c:pt idx="498">
                  <c:v>-52.987757823853123</c:v>
                </c:pt>
                <c:pt idx="499">
                  <c:v>-53.036451205937674</c:v>
                </c:pt>
                <c:pt idx="500">
                  <c:v>-53.08495279884994</c:v>
                </c:pt>
                <c:pt idx="501">
                  <c:v>-53.133264055212109</c:v>
                </c:pt>
                <c:pt idx="502">
                  <c:v>-53.181386413256206</c:v>
                </c:pt>
                <c:pt idx="503">
                  <c:v>-53.229321297000574</c:v>
                </c:pt>
                <c:pt idx="504">
                  <c:v>-53.277070116423644</c:v>
                </c:pt>
                <c:pt idx="505">
                  <c:v>-53.324634267635048</c:v>
                </c:pt>
                <c:pt idx="506">
                  <c:v>-53.372015133044201</c:v>
                </c:pt>
                <c:pt idx="507">
                  <c:v>-53.419214081526256</c:v>
                </c:pt>
                <c:pt idx="508">
                  <c:v>-53.466232468585702</c:v>
                </c:pt>
                <c:pt idx="509">
                  <c:v>-53.513071636517367</c:v>
                </c:pt>
                <c:pt idx="510">
                  <c:v>-53.559732914565146</c:v>
                </c:pt>
                <c:pt idx="511">
                  <c:v>-53.606217619078265</c:v>
                </c:pt>
                <c:pt idx="512">
                  <c:v>-53.652527053665366</c:v>
                </c:pt>
                <c:pt idx="513">
                  <c:v>-53.698662509346178</c:v>
                </c:pt>
                <c:pt idx="514">
                  <c:v>-53.744625264701071</c:v>
                </c:pt>
                <c:pt idx="515">
                  <c:v>-53.790416586018324</c:v>
                </c:pt>
                <c:pt idx="516">
                  <c:v>-53.836037727439333</c:v>
                </c:pt>
                <c:pt idx="517">
                  <c:v>-53.881489931101669</c:v>
                </c:pt>
                <c:pt idx="518">
                  <c:v>-53.926774427280037</c:v>
                </c:pt>
                <c:pt idx="519">
                  <c:v>-53.97189243452523</c:v>
                </c:pt>
                <c:pt idx="520">
                  <c:v>-54.016845159801093</c:v>
                </c:pt>
                <c:pt idx="521">
                  <c:v>-54.061633798619475</c:v>
                </c:pt>
                <c:pt idx="522">
                  <c:v>-54.106259535173322</c:v>
                </c:pt>
                <c:pt idx="523">
                  <c:v>-54.150723542467759</c:v>
                </c:pt>
                <c:pt idx="524">
                  <c:v>-54.195026982449477</c:v>
                </c:pt>
                <c:pt idx="525">
                  <c:v>-54.239171006134086</c:v>
                </c:pt>
                <c:pt idx="526">
                  <c:v>-54.283156753731859</c:v>
                </c:pt>
                <c:pt idx="527">
                  <c:v>-54.326985354771587</c:v>
                </c:pt>
                <c:pt idx="528">
                  <c:v>-54.370657928222705</c:v>
                </c:pt>
                <c:pt idx="529">
                  <c:v>-54.414175582615805</c:v>
                </c:pt>
                <c:pt idx="530">
                  <c:v>-54.457539416161339</c:v>
                </c:pt>
                <c:pt idx="531">
                  <c:v>-54.500750516866773</c:v>
                </c:pt>
                <c:pt idx="532">
                  <c:v>-54.543809962652062</c:v>
                </c:pt>
                <c:pt idx="533">
                  <c:v>-54.586718821463521</c:v>
                </c:pt>
                <c:pt idx="534">
                  <c:v>-54.629478151386259</c:v>
                </c:pt>
                <c:pt idx="535">
                  <c:v>-54.672089000754852</c:v>
                </c:pt>
                <c:pt idx="536">
                  <c:v>-54.714552408262698</c:v>
                </c:pt>
                <c:pt idx="537">
                  <c:v>-54.756869403069729</c:v>
                </c:pt>
                <c:pt idx="538">
                  <c:v>-54.799041004908815</c:v>
                </c:pt>
                <c:pt idx="539">
                  <c:v>-54.841068224190586</c:v>
                </c:pt>
                <c:pt idx="540">
                  <c:v>-54.882952062106909</c:v>
                </c:pt>
                <c:pt idx="541">
                  <c:v>-54.924693510732958</c:v>
                </c:pt>
                <c:pt idx="542">
                  <c:v>-54.966293553127898</c:v>
                </c:pt>
                <c:pt idx="543">
                  <c:v>-55.007753163434252</c:v>
                </c:pt>
                <c:pt idx="544">
                  <c:v>-55.049073306975927</c:v>
                </c:pt>
                <c:pt idx="545">
                  <c:v>-55.090254940354917</c:v>
                </c:pt>
                <c:pt idx="546">
                  <c:v>-55.13129901154673</c:v>
                </c:pt>
                <c:pt idx="547">
                  <c:v>-55.172206459994548</c:v>
                </c:pt>
                <c:pt idx="548">
                  <c:v>-55.212978216702204</c:v>
                </c:pt>
                <c:pt idx="549">
                  <c:v>-55.253615204325861</c:v>
                </c:pt>
                <c:pt idx="550">
                  <c:v>-55.294118337264479</c:v>
                </c:pt>
                <c:pt idx="551">
                  <c:v>-55.334488521749179</c:v>
                </c:pt>
                <c:pt idx="552">
                  <c:v>-55.374726655931397</c:v>
                </c:pt>
                <c:pt idx="553">
                  <c:v>-55.414833629969856</c:v>
                </c:pt>
                <c:pt idx="554">
                  <c:v>-55.454810326116458</c:v>
                </c:pt>
                <c:pt idx="555">
                  <c:v>-55.494657618801043</c:v>
                </c:pt>
                <c:pt idx="556">
                  <c:v>-55.534376374715109</c:v>
                </c:pt>
                <c:pt idx="557">
                  <c:v>-55.573967452894323</c:v>
                </c:pt>
                <c:pt idx="558">
                  <c:v>-55.613431704800156</c:v>
                </c:pt>
                <c:pt idx="559">
                  <c:v>-55.652769974400272</c:v>
                </c:pt>
                <c:pt idx="560">
                  <c:v>-55.691983098248095</c:v>
                </c:pt>
                <c:pt idx="561">
                  <c:v>-55.731071905561187</c:v>
                </c:pt>
                <c:pt idx="562">
                  <c:v>-55.770037218298761</c:v>
                </c:pt>
                <c:pt idx="563">
                  <c:v>-55.808879851238146</c:v>
                </c:pt>
                <c:pt idx="564">
                  <c:v>-55.84760061205025</c:v>
                </c:pt>
                <c:pt idx="565">
                  <c:v>-55.886200301374231</c:v>
                </c:pt>
                <c:pt idx="566">
                  <c:v>-55.92467971289102</c:v>
                </c:pt>
                <c:pt idx="567">
                  <c:v>-55.963039633396079</c:v>
                </c:pt>
                <c:pt idx="568">
                  <c:v>-56.001280842871203</c:v>
                </c:pt>
                <c:pt idx="569">
                  <c:v>-56.039404114555389</c:v>
                </c:pt>
                <c:pt idx="570">
                  <c:v>-56.077410215014879</c:v>
                </c:pt>
                <c:pt idx="571">
                  <c:v>-56.115299904212335</c:v>
                </c:pt>
                <c:pt idx="572">
                  <c:v>-56.153073935575108</c:v>
                </c:pt>
                <c:pt idx="573">
                  <c:v>-56.190733056062705</c:v>
                </c:pt>
                <c:pt idx="574">
                  <c:v>-56.228278006233396</c:v>
                </c:pt>
                <c:pt idx="575">
                  <c:v>-56.265709520310068</c:v>
                </c:pt>
                <c:pt idx="576">
                  <c:v>-56.303028326245197</c:v>
                </c:pt>
                <c:pt idx="577">
                  <c:v>-56.340235145785087</c:v>
                </c:pt>
                <c:pt idx="578">
                  <c:v>-56.377330694533264</c:v>
                </c:pt>
                <c:pt idx="579">
                  <c:v>-56.414315682013154</c:v>
                </c:pt>
                <c:pt idx="580">
                  <c:v>-56.451190811729987</c:v>
                </c:pt>
                <c:pt idx="581">
                  <c:v>-56.487956781231944</c:v>
                </c:pt>
                <c:pt idx="582">
                  <c:v>-56.524614282170575</c:v>
                </c:pt>
                <c:pt idx="583">
                  <c:v>-56.561164000360478</c:v>
                </c:pt>
                <c:pt idx="584">
                  <c:v>-56.597606615838252</c:v>
                </c:pt>
                <c:pt idx="585">
                  <c:v>-56.633942802920842</c:v>
                </c:pt>
                <c:pt idx="586">
                  <c:v>-56.670173230263003</c:v>
                </c:pt>
                <c:pt idx="587">
                  <c:v>-56.706298560914242</c:v>
                </c:pt>
                <c:pt idx="588">
                  <c:v>-56.742319452375014</c:v>
                </c:pt>
                <c:pt idx="589">
                  <c:v>-56.778236556652274</c:v>
                </c:pt>
                <c:pt idx="590">
                  <c:v>-56.814050520314339</c:v>
                </c:pt>
                <c:pt idx="591">
                  <c:v>-56.84976198454514</c:v>
                </c:pt>
                <c:pt idx="592">
                  <c:v>-56.885371585197817</c:v>
                </c:pt>
                <c:pt idx="593">
                  <c:v>-56.920879952847656</c:v>
                </c:pt>
                <c:pt idx="594">
                  <c:v>-56.9562877128445</c:v>
                </c:pt>
                <c:pt idx="595">
                  <c:v>-56.991595485364385</c:v>
                </c:pt>
                <c:pt idx="596">
                  <c:v>-57.026803885460787</c:v>
                </c:pt>
                <c:pt idx="597">
                  <c:v>-57.061913523115059</c:v>
                </c:pt>
                <c:pt idx="598">
                  <c:v>-57.096925003286422</c:v>
                </c:pt>
                <c:pt idx="599">
                  <c:v>-57.131838925961318</c:v>
                </c:pt>
                <c:pt idx="600">
                  <c:v>-57.166655886202236</c:v>
                </c:pt>
                <c:pt idx="601">
                  <c:v>-57.201376474195897</c:v>
                </c:pt>
                <c:pt idx="602">
                  <c:v>-57.23600127530095</c:v>
                </c:pt>
                <c:pt idx="603">
                  <c:v>-57.270530870095158</c:v>
                </c:pt>
                <c:pt idx="604">
                  <c:v>-57.304965834421878</c:v>
                </c:pt>
                <c:pt idx="605">
                  <c:v>-57.339306739436211</c:v>
                </c:pt>
                <c:pt idx="606">
                  <c:v>-58.947807764538439</c:v>
                </c:pt>
                <c:pt idx="607">
                  <c:v>-60.379261003783789</c:v>
                </c:pt>
                <c:pt idx="608">
                  <c:v>-61.674040286293518</c:v>
                </c:pt>
                <c:pt idx="609">
                  <c:v>-62.860471732312135</c:v>
                </c:pt>
                <c:pt idx="610">
                  <c:v>-63.958914637673715</c:v>
                </c:pt>
                <c:pt idx="611">
                  <c:v>-64.984335790017568</c:v>
                </c:pt>
                <c:pt idx="612">
                  <c:v>-65.947975715915931</c:v>
                </c:pt>
                <c:pt idx="613">
                  <c:v>-66.85845085282476</c:v>
                </c:pt>
                <c:pt idx="614">
                  <c:v>-67.722496573304809</c:v>
                </c:pt>
                <c:pt idx="615">
                  <c:v>-68.545476703065177</c:v>
                </c:pt>
                <c:pt idx="616">
                  <c:v>-69.331738430995046</c:v>
                </c:pt>
                <c:pt idx="617">
                  <c:v>-70.084863181635612</c:v>
                </c:pt>
                <c:pt idx="618">
                  <c:v>-70.377522183989839</c:v>
                </c:pt>
                <c:pt idx="619">
                  <c:v>-70.665533485702085</c:v>
                </c:pt>
                <c:pt idx="620">
                  <c:v>-70.94905649801197</c:v>
                </c:pt>
                <c:pt idx="621">
                  <c:v>-71.228241096422607</c:v>
                </c:pt>
                <c:pt idx="622">
                  <c:v>-71.503228455700707</c:v>
                </c:pt>
                <c:pt idx="623">
                  <c:v>-71.774151793665467</c:v>
                </c:pt>
                <c:pt idx="624">
                  <c:v>-72.041137035090344</c:v>
                </c:pt>
                <c:pt idx="625">
                  <c:v>-72.30430340551051</c:v>
                </c:pt>
                <c:pt idx="626">
                  <c:v>-72.563763963419035</c:v>
                </c:pt>
                <c:pt idx="627">
                  <c:v>-72.819626078212096</c:v>
                </c:pt>
                <c:pt idx="628">
                  <c:v>-73.07199186028042</c:v>
                </c:pt>
                <c:pt idx="629">
                  <c:v>-73.320958548816009</c:v>
                </c:pt>
                <c:pt idx="630">
                  <c:v>-73.566618862189983</c:v>
                </c:pt>
                <c:pt idx="631">
                  <c:v>-73.80906131514206</c:v>
                </c:pt>
                <c:pt idx="632">
                  <c:v>-74.048370506491082</c:v>
                </c:pt>
                <c:pt idx="633">
                  <c:v>-74.284627380615888</c:v>
                </c:pt>
                <c:pt idx="634">
                  <c:v>-74.517909465557466</c:v>
                </c:pt>
                <c:pt idx="635">
                  <c:v>-74.748291090247804</c:v>
                </c:pt>
                <c:pt idx="636">
                  <c:v>-74.975843583070144</c:v>
                </c:pt>
                <c:pt idx="637">
                  <c:v>-75.200635453693664</c:v>
                </c:pt>
                <c:pt idx="638">
                  <c:v>-75.422732559898179</c:v>
                </c:pt>
                <c:pt idx="639">
                  <c:v>-75.642198260905189</c:v>
                </c:pt>
                <c:pt idx="640">
                  <c:v>-75.859093558557532</c:v>
                </c:pt>
                <c:pt idx="641">
                  <c:v>-76.073477227538632</c:v>
                </c:pt>
                <c:pt idx="642">
                  <c:v>-76.285405935687606</c:v>
                </c:pt>
                <c:pt idx="643">
                  <c:v>-76.494934355351077</c:v>
                </c:pt>
                <c:pt idx="644">
                  <c:v>-76.702115266608374</c:v>
                </c:pt>
                <c:pt idx="645">
                  <c:v>-76.90699965311714</c:v>
                </c:pt>
                <c:pt idx="646">
                  <c:v>-77.109636791246444</c:v>
                </c:pt>
                <c:pt idx="647">
                  <c:v>-77.310074333093922</c:v>
                </c:pt>
                <c:pt idx="648">
                  <c:v>-77.508358383922086</c:v>
                </c:pt>
                <c:pt idx="649">
                  <c:v>-77.704533574492828</c:v>
                </c:pt>
                <c:pt idx="650">
                  <c:v>-77.898643128731948</c:v>
                </c:pt>
                <c:pt idx="651">
                  <c:v>-78.090728927110916</c:v>
                </c:pt>
                <c:pt idx="652">
                  <c:v>-78.280831566095898</c:v>
                </c:pt>
                <c:pt idx="653">
                  <c:v>-78.468990413979455</c:v>
                </c:pt>
                <c:pt idx="654">
                  <c:v>-78.655243663379977</c:v>
                </c:pt>
                <c:pt idx="655">
                  <c:v>-78.839628380667065</c:v>
                </c:pt>
                <c:pt idx="656">
                  <c:v>-79.022180552546985</c:v>
                </c:pt>
                <c:pt idx="657">
                  <c:v>-79.202935130020336</c:v>
                </c:pt>
                <c:pt idx="658">
                  <c:v>-79.381926069905333</c:v>
                </c:pt>
                <c:pt idx="659">
                  <c:v>-79.559186374102339</c:v>
                </c:pt>
                <c:pt idx="660">
                  <c:v>-79.73474812676001</c:v>
                </c:pt>
                <c:pt idx="661">
                  <c:v>-79.908642529489256</c:v>
                </c:pt>
                <c:pt idx="662">
                  <c:v>-80.080899934759117</c:v>
                </c:pt>
                <c:pt idx="663">
                  <c:v>-80.251549877596545</c:v>
                </c:pt>
                <c:pt idx="664">
                  <c:v>-80.42062110570302</c:v>
                </c:pt>
                <c:pt idx="665">
                  <c:v>-80.588141608090368</c:v>
                </c:pt>
                <c:pt idx="666">
                  <c:v>-80.754138642331128</c:v>
                </c:pt>
                <c:pt idx="667">
                  <c:v>-80.918638760510376</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80.415036914587603</c:v>
                </c:pt>
                <c:pt idx="1">
                  <c:v>75.09541662311436</c:v>
                </c:pt>
                <c:pt idx="2">
                  <c:v>71.716801972066961</c:v>
                </c:pt>
                <c:pt idx="3">
                  <c:v>69.269288709328137</c:v>
                </c:pt>
                <c:pt idx="4">
                  <c:v>67.355022547583403</c:v>
                </c:pt>
                <c:pt idx="5">
                  <c:v>65.784455381102134</c:v>
                </c:pt>
                <c:pt idx="6">
                  <c:v>64.453413079922711</c:v>
                </c:pt>
                <c:pt idx="7">
                  <c:v>63.298706104056819</c:v>
                </c:pt>
                <c:pt idx="8">
                  <c:v>62.279178742285964</c:v>
                </c:pt>
                <c:pt idx="9">
                  <c:v>61.366551872836645</c:v>
                </c:pt>
                <c:pt idx="10">
                  <c:v>55.354068664433854</c:v>
                </c:pt>
                <c:pt idx="11">
                  <c:v>51.833822726063012</c:v>
                </c:pt>
                <c:pt idx="12">
                  <c:v>49.335688857482126</c:v>
                </c:pt>
                <c:pt idx="13">
                  <c:v>47.397881802316952</c:v>
                </c:pt>
                <c:pt idx="14">
                  <c:v>45.814572919748358</c:v>
                </c:pt>
                <c:pt idx="15">
                  <c:v>44.475934423888248</c:v>
                </c:pt>
                <c:pt idx="16">
                  <c:v>43.316398445257953</c:v>
                </c:pt>
                <c:pt idx="17">
                  <c:v>42.293668280512463</c:v>
                </c:pt>
                <c:pt idx="18">
                  <c:v>41.378862216920531</c:v>
                </c:pt>
                <c:pt idx="19">
                  <c:v>35.363371061555554</c:v>
                </c:pt>
                <c:pt idx="20">
                  <c:v>31.849937967179052</c:v>
                </c:pt>
                <c:pt idx="21">
                  <c:v>29.362890525555901</c:v>
                </c:pt>
                <c:pt idx="22">
                  <c:v>27.43975377063089</c:v>
                </c:pt>
                <c:pt idx="23">
                  <c:v>25.874522717885419</c:v>
                </c:pt>
                <c:pt idx="24">
                  <c:v>24.55730254941674</c:v>
                </c:pt>
                <c:pt idx="25">
                  <c:v>23.422490435171142</c:v>
                </c:pt>
                <c:pt idx="26">
                  <c:v>22.427765754158138</c:v>
                </c:pt>
                <c:pt idx="27">
                  <c:v>21.544226798955414</c:v>
                </c:pt>
                <c:pt idx="28">
                  <c:v>18.229143440249445</c:v>
                </c:pt>
                <c:pt idx="29">
                  <c:v>16.016345639420091</c:v>
                </c:pt>
                <c:pt idx="30">
                  <c:v>14.44018116390383</c:v>
                </c:pt>
                <c:pt idx="31">
                  <c:v>13.290927364272019</c:v>
                </c:pt>
                <c:pt idx="32">
                  <c:v>12.454626817528071</c:v>
                </c:pt>
                <c:pt idx="33">
                  <c:v>11.8614482766284</c:v>
                </c:pt>
                <c:pt idx="34">
                  <c:v>11.464813859445375</c:v>
                </c:pt>
                <c:pt idx="35">
                  <c:v>11.231609167351763</c:v>
                </c:pt>
                <c:pt idx="36">
                  <c:v>11.137035182018536</c:v>
                </c:pt>
                <c:pt idx="37">
                  <c:v>11.16159632764872</c:v>
                </c:pt>
                <c:pt idx="38">
                  <c:v>11.289109395389547</c:v>
                </c:pt>
                <c:pt idx="39">
                  <c:v>11.505169896351479</c:v>
                </c:pt>
                <c:pt idx="40">
                  <c:v>11.795749789461334</c:v>
                </c:pt>
                <c:pt idx="41">
                  <c:v>12.145716442901712</c:v>
                </c:pt>
                <c:pt idx="42">
                  <c:v>12.537154464750703</c:v>
                </c:pt>
                <c:pt idx="43">
                  <c:v>12.947523669735988</c:v>
                </c:pt>
                <c:pt idx="44">
                  <c:v>13.347995129283143</c:v>
                </c:pt>
                <c:pt idx="45">
                  <c:v>13.702836152488114</c:v>
                </c:pt>
                <c:pt idx="46">
                  <c:v>13.971295279004213</c:v>
                </c:pt>
                <c:pt idx="47">
                  <c:v>14.113361569750998</c:v>
                </c:pt>
                <c:pt idx="48">
                  <c:v>14.09897646364378</c:v>
                </c:pt>
                <c:pt idx="49">
                  <c:v>13.916966994042859</c:v>
                </c:pt>
                <c:pt idx="50">
                  <c:v>13.578280166104618</c:v>
                </c:pt>
                <c:pt idx="51">
                  <c:v>13.111218213048305</c:v>
                </c:pt>
                <c:pt idx="52">
                  <c:v>12.551914102845391</c:v>
                </c:pt>
                <c:pt idx="53">
                  <c:v>11.935466400478793</c:v>
                </c:pt>
                <c:pt idx="54">
                  <c:v>11.290824777821616</c:v>
                </c:pt>
                <c:pt idx="55">
                  <c:v>10.63934166793433</c:v>
                </c:pt>
                <c:pt idx="56">
                  <c:v>9.9954894269801944</c:v>
                </c:pt>
                <c:pt idx="57">
                  <c:v>9.3683688896559563</c:v>
                </c:pt>
                <c:pt idx="58">
                  <c:v>8.7632336424161146</c:v>
                </c:pt>
                <c:pt idx="59">
                  <c:v>8.1827318368496922</c:v>
                </c:pt>
                <c:pt idx="60">
                  <c:v>7.6278187445477421</c:v>
                </c:pt>
                <c:pt idx="61">
                  <c:v>7.0983898041581162</c:v>
                </c:pt>
                <c:pt idx="62">
                  <c:v>6.5937045694510887</c:v>
                </c:pt>
                <c:pt idx="63">
                  <c:v>6.1126639329449484</c:v>
                </c:pt>
                <c:pt idx="64">
                  <c:v>5.6539880000515588</c:v>
                </c:pt>
                <c:pt idx="65">
                  <c:v>5.2163280901421203</c:v>
                </c:pt>
                <c:pt idx="66">
                  <c:v>4.7983356349732773</c:v>
                </c:pt>
                <c:pt idx="67">
                  <c:v>4.3987031406637289</c:v>
                </c:pt>
                <c:pt idx="68">
                  <c:v>4.0161871970580592</c:v>
                </c:pt>
                <c:pt idx="69">
                  <c:v>3.6496200636610525</c:v>
                </c:pt>
                <c:pt idx="70">
                  <c:v>3.2979140850644875</c:v>
                </c:pt>
                <c:pt idx="71">
                  <c:v>2.9600616975115535</c:v>
                </c:pt>
                <c:pt idx="72">
                  <c:v>2.6351328135372345</c:v>
                </c:pt>
                <c:pt idx="73">
                  <c:v>2.3222707349270642</c:v>
                </c:pt>
                <c:pt idx="74">
                  <c:v>2.0206873283069409</c:v>
                </c:pt>
                <c:pt idx="75">
                  <c:v>1.7296579259936216</c:v>
                </c:pt>
                <c:pt idx="76">
                  <c:v>1.4485162374475857</c:v>
                </c:pt>
                <c:pt idx="77">
                  <c:v>1.176649441281213</c:v>
                </c:pt>
                <c:pt idx="78">
                  <c:v>0.91349355305206381</c:v>
                </c:pt>
                <c:pt idx="79">
                  <c:v>0.65852911610263065</c:v>
                </c:pt>
                <c:pt idx="80">
                  <c:v>0.41127723234798413</c:v>
                </c:pt>
                <c:pt idx="81">
                  <c:v>0.17129593112922334</c:v>
                </c:pt>
                <c:pt idx="82">
                  <c:v>-6.1823136943558177E-2</c:v>
                </c:pt>
                <c:pt idx="83">
                  <c:v>-0.28845770048517094</c:v>
                </c:pt>
                <c:pt idx="84">
                  <c:v>-0.50895758455033147</c:v>
                </c:pt>
                <c:pt idx="85">
                  <c:v>-0.72364716798472883</c:v>
                </c:pt>
                <c:pt idx="86">
                  <c:v>-0.93282760410014376</c:v>
                </c:pt>
                <c:pt idx="87">
                  <c:v>-1.1367788268866965</c:v>
                </c:pt>
                <c:pt idx="88">
                  <c:v>-1.3357613635838139</c:v>
                </c:pt>
                <c:pt idx="89">
                  <c:v>-1.5300179728414034</c:v>
                </c:pt>
                <c:pt idx="90">
                  <c:v>-1.7197751260500236</c:v>
                </c:pt>
                <c:pt idx="91">
                  <c:v>-1.9052443477898078</c:v>
                </c:pt>
                <c:pt idx="92">
                  <c:v>-2.0866234297928394</c:v>
                </c:pt>
                <c:pt idx="93">
                  <c:v>-2.2640975313610108</c:v>
                </c:pt>
                <c:pt idx="94">
                  <c:v>-2.4378401778434662</c:v>
                </c:pt>
                <c:pt idx="95">
                  <c:v>-2.6080141675592139</c:v>
                </c:pt>
                <c:pt idx="96">
                  <c:v>-2.7747723964479807</c:v>
                </c:pt>
                <c:pt idx="97">
                  <c:v>-2.9382586087414078</c:v>
                </c:pt>
                <c:pt idx="98">
                  <c:v>-3.0986080810584218</c:v>
                </c:pt>
                <c:pt idx="99">
                  <c:v>-3.2559482465355187</c:v>
                </c:pt>
                <c:pt idx="100">
                  <c:v>-3.4103992648958199</c:v>
                </c:pt>
                <c:pt idx="101">
                  <c:v>-3.5620745437312089</c:v>
                </c:pt>
                <c:pt idx="102">
                  <c:v>-3.7110812157122992</c:v>
                </c:pt>
                <c:pt idx="103">
                  <c:v>-3.8575205759433717</c:v>
                </c:pt>
                <c:pt idx="104">
                  <c:v>-4.0014884832374618</c:v>
                </c:pt>
                <c:pt idx="105">
                  <c:v>-4.1430757286936322</c:v>
                </c:pt>
                <c:pt idx="106">
                  <c:v>-4.2823683746091445</c:v>
                </c:pt>
                <c:pt idx="107">
                  <c:v>-4.4194480664488038</c:v>
                </c:pt>
                <c:pt idx="108">
                  <c:v>-4.554392320316861</c:v>
                </c:pt>
                <c:pt idx="109">
                  <c:v>-4.6872747881310843</c:v>
                </c:pt>
                <c:pt idx="110">
                  <c:v>-4.8181655024789407</c:v>
                </c:pt>
                <c:pt idx="111">
                  <c:v>-4.9471311029403759</c:v>
                </c:pt>
                <c:pt idx="112">
                  <c:v>-5.0742350454869047</c:v>
                </c:pt>
                <c:pt idx="113">
                  <c:v>-5.1995377964108478</c:v>
                </c:pt>
                <c:pt idx="114">
                  <c:v>-5.3230970120988701</c:v>
                </c:pt>
                <c:pt idx="115">
                  <c:v>-5.4449677058393124</c:v>
                </c:pt>
                <c:pt idx="116">
                  <c:v>-5.5652024027406473</c:v>
                </c:pt>
                <c:pt idx="117">
                  <c:v>-5.6838512837383037</c:v>
                </c:pt>
                <c:pt idx="118">
                  <c:v>-5.8009623195767972</c:v>
                </c:pt>
                <c:pt idx="119">
                  <c:v>-5.9165813955732762</c:v>
                </c:pt>
                <c:pt idx="120">
                  <c:v>-6.0307524278956768</c:v>
                </c:pt>
                <c:pt idx="121">
                  <c:v>-6.1435174720231789</c:v>
                </c:pt>
                <c:pt idx="122">
                  <c:v>-6.2549168239973509</c:v>
                </c:pt>
                <c:pt idx="123">
                  <c:v>-6.3649891150192488</c:v>
                </c:pt>
                <c:pt idx="124">
                  <c:v>-6.473771399899432</c:v>
                </c:pt>
                <c:pt idx="125">
                  <c:v>-6.5812992398242676</c:v>
                </c:pt>
                <c:pt idx="126">
                  <c:v>-6.6876067798624987</c:v>
                </c:pt>
                <c:pt idx="127">
                  <c:v>-6.7927268216004197</c:v>
                </c:pt>
                <c:pt idx="128">
                  <c:v>-6.896690891261442</c:v>
                </c:pt>
                <c:pt idx="129">
                  <c:v>-6.9995293036366313</c:v>
                </c:pt>
                <c:pt idx="130">
                  <c:v>-7.1012712221259466</c:v>
                </c:pt>
                <c:pt idx="131">
                  <c:v>-7.2019447151657188</c:v>
                </c:pt>
                <c:pt idx="132">
                  <c:v>-7.3015768092957822</c:v>
                </c:pt>
                <c:pt idx="133">
                  <c:v>-7.4001935390994937</c:v>
                </c:pt>
                <c:pt idx="134">
                  <c:v>-7.4978199942316106</c:v>
                </c:pt>
                <c:pt idx="135">
                  <c:v>-7.5944803637322433</c:v>
                </c:pt>
                <c:pt idx="136">
                  <c:v>-7.6901979778096052</c:v>
                </c:pt>
                <c:pt idx="137">
                  <c:v>-7.7849953472606304</c:v>
                </c:pt>
                <c:pt idx="138">
                  <c:v>-7.8788942006854246</c:v>
                </c:pt>
                <c:pt idx="139">
                  <c:v>-7.9719155196399907</c:v>
                </c:pt>
                <c:pt idx="140">
                  <c:v>-8.0640795718608551</c:v>
                </c:pt>
                <c:pt idx="141">
                  <c:v>-8.155405942685368</c:v>
                </c:pt>
                <c:pt idx="142">
                  <c:v>-8.2459135647824393</c:v>
                </c:pt>
                <c:pt idx="143">
                  <c:v>-8.3356207463002203</c:v>
                </c:pt>
                <c:pt idx="144">
                  <c:v>-8.4245451975293992</c:v>
                </c:pt>
                <c:pt idx="145">
                  <c:v>-8.5127040561740959</c:v>
                </c:pt>
                <c:pt idx="146">
                  <c:v>-8.6001139113154732</c:v>
                </c:pt>
                <c:pt idx="147">
                  <c:v>-8.6867908261476323</c:v>
                </c:pt>
                <c:pt idx="148">
                  <c:v>-8.7727503595595522</c:v>
                </c:pt>
                <c:pt idx="149">
                  <c:v>-8.8580075866318602</c:v>
                </c:pt>
                <c:pt idx="150">
                  <c:v>-8.9425771181126521</c:v>
                </c:pt>
                <c:pt idx="151">
                  <c:v>-9.026473118932131</c:v>
                </c:pt>
                <c:pt idx="152">
                  <c:v>-9.1097093258117621</c:v>
                </c:pt>
                <c:pt idx="153">
                  <c:v>-9.1922990640202435</c:v>
                </c:pt>
                <c:pt idx="154">
                  <c:v>-9.2742552633248216</c:v>
                </c:pt>
                <c:pt idx="155">
                  <c:v>-9.3555904731834936</c:v>
                </c:pt>
                <c:pt idx="156">
                  <c:v>-9.436316877220678</c:v>
                </c:pt>
                <c:pt idx="157">
                  <c:v>-9.5164463070262038</c:v>
                </c:pt>
                <c:pt idx="158">
                  <c:v>-9.5959902553148506</c:v>
                </c:pt>
                <c:pt idx="159">
                  <c:v>-9.6749598884815082</c:v>
                </c:pt>
                <c:pt idx="160">
                  <c:v>-9.7533660585845379</c:v>
                </c:pt>
                <c:pt idx="161">
                  <c:v>-9.8312193147883136</c:v>
                </c:pt>
                <c:pt idx="162">
                  <c:v>-9.9085299142934868</c:v>
                </c:pt>
                <c:pt idx="163">
                  <c:v>-9.9853078327823628</c:v>
                </c:pt>
                <c:pt idx="164">
                  <c:v>-10.061562774404528</c:v>
                </c:pt>
                <c:pt idx="165">
                  <c:v>-10.137304181326892</c:v>
                </c:pt>
                <c:pt idx="166">
                  <c:v>-10.212541242870426</c:v>
                </c:pt>
                <c:pt idx="167">
                  <c:v>-10.287282904254887</c:v>
                </c:pt>
                <c:pt idx="168">
                  <c:v>-10.361537874971351</c:v>
                </c:pt>
                <c:pt idx="169">
                  <c:v>-10.43531463680138</c:v>
                </c:pt>
                <c:pt idx="170">
                  <c:v>-10.508621451500364</c:v>
                </c:pt>
                <c:pt idx="171">
                  <c:v>-10.581466368161866</c:v>
                </c:pt>
                <c:pt idx="172">
                  <c:v>-10.653857230278472</c:v>
                </c:pt>
                <c:pt idx="173">
                  <c:v>-10.725801682514163</c:v>
                </c:pt>
                <c:pt idx="174">
                  <c:v>-10.797307177202009</c:v>
                </c:pt>
                <c:pt idx="175">
                  <c:v>-10.868380980580527</c:v>
                </c:pt>
                <c:pt idx="176">
                  <c:v>-10.939030178781062</c:v>
                </c:pt>
                <c:pt idx="177">
                  <c:v>-11.009261683578092</c:v>
                </c:pt>
                <c:pt idx="178">
                  <c:v>-11.079082237913557</c:v>
                </c:pt>
                <c:pt idx="179">
                  <c:v>-11.148498421205664</c:v>
                </c:pt>
                <c:pt idx="180">
                  <c:v>-11.21751665445232</c:v>
                </c:pt>
                <c:pt idx="181">
                  <c:v>-11.286143205138522</c:v>
                </c:pt>
                <c:pt idx="182">
                  <c:v>-11.354384191956656</c:v>
                </c:pt>
                <c:pt idx="183">
                  <c:v>-11.422245589348201</c:v>
                </c:pt>
                <c:pt idx="184">
                  <c:v>-11.489733231874894</c:v>
                </c:pt>
                <c:pt idx="185">
                  <c:v>-11.556852818426922</c:v>
                </c:pt>
                <c:pt idx="186">
                  <c:v>-11.623609916275374</c:v>
                </c:pt>
                <c:pt idx="187">
                  <c:v>-11.690009964975875</c:v>
                </c:pt>
                <c:pt idx="188">
                  <c:v>-11.756058280129803</c:v>
                </c:pt>
                <c:pt idx="189">
                  <c:v>-11.821760057009332</c:v>
                </c:pt>
                <c:pt idx="190">
                  <c:v>-11.887120374052159</c:v>
                </c:pt>
                <c:pt idx="191">
                  <c:v>-11.952144196231506</c:v>
                </c:pt>
                <c:pt idx="192">
                  <c:v>-12.016836378306632</c:v>
                </c:pt>
                <c:pt idx="193">
                  <c:v>-12.081201667959011</c:v>
                </c:pt>
                <c:pt idx="194">
                  <c:v>-12.145244708818852</c:v>
                </c:pt>
                <c:pt idx="195">
                  <c:v>-12.208970043386593</c:v>
                </c:pt>
                <c:pt idx="196">
                  <c:v>-12.272382115853668</c:v>
                </c:pt>
                <c:pt idx="197">
                  <c:v>-12.335485274826803</c:v>
                </c:pt>
                <c:pt idx="198">
                  <c:v>-12.398283775959541</c:v>
                </c:pt>
                <c:pt idx="199">
                  <c:v>-12.46078178449503</c:v>
                </c:pt>
                <c:pt idx="200">
                  <c:v>-12.522983377723422</c:v>
                </c:pt>
                <c:pt idx="201">
                  <c:v>-12.584892547357427</c:v>
                </c:pt>
                <c:pt idx="202">
                  <c:v>-12.646513201829229</c:v>
                </c:pt>
                <c:pt idx="203">
                  <c:v>-12.707849168511881</c:v>
                </c:pt>
                <c:pt idx="204">
                  <c:v>-12.768904195868117</c:v>
                </c:pt>
                <c:pt idx="205">
                  <c:v>-12.829681955529406</c:v>
                </c:pt>
                <c:pt idx="206">
                  <c:v>-12.890186044307999</c:v>
                </c:pt>
                <c:pt idx="207">
                  <c:v>-12.950419986144501</c:v>
                </c:pt>
                <c:pt idx="208">
                  <c:v>-13.010387233993415</c:v>
                </c:pt>
                <c:pt idx="209">
                  <c:v>-13.07009117164905</c:v>
                </c:pt>
                <c:pt idx="210">
                  <c:v>-13.129535115514075</c:v>
                </c:pt>
                <c:pt idx="211">
                  <c:v>-13.188722316312729</c:v>
                </c:pt>
                <c:pt idx="212">
                  <c:v>-13.247655960750947</c:v>
                </c:pt>
                <c:pt idx="213">
                  <c:v>-13.306339173125195</c:v>
                </c:pt>
                <c:pt idx="214">
                  <c:v>-13.364775016882009</c:v>
                </c:pt>
                <c:pt idx="215">
                  <c:v>-13.42296649612998</c:v>
                </c:pt>
                <c:pt idx="216">
                  <c:v>-13.480916557105934</c:v>
                </c:pt>
                <c:pt idx="217">
                  <c:v>-13.538628089596996</c:v>
                </c:pt>
                <c:pt idx="218">
                  <c:v>-13.596103928320048</c:v>
                </c:pt>
                <c:pt idx="219">
                  <c:v>-13.653346854260169</c:v>
                </c:pt>
                <c:pt idx="220">
                  <c:v>-13.710359595969475</c:v>
                </c:pt>
                <c:pt idx="221">
                  <c:v>-13.767144830827762</c:v>
                </c:pt>
                <c:pt idx="222">
                  <c:v>-13.823705186266311</c:v>
                </c:pt>
                <c:pt idx="223">
                  <c:v>-13.880043240956097</c:v>
                </c:pt>
                <c:pt idx="224">
                  <c:v>-13.936161525961673</c:v>
                </c:pt>
                <c:pt idx="225">
                  <c:v>-13.992062525861913</c:v>
                </c:pt>
                <c:pt idx="226">
                  <c:v>-14.539637304329849</c:v>
                </c:pt>
                <c:pt idx="227">
                  <c:v>-15.067909717722882</c:v>
                </c:pt>
                <c:pt idx="228">
                  <c:v>-15.578742572957296</c:v>
                </c:pt>
                <c:pt idx="229">
                  <c:v>-16.073712813594547</c:v>
                </c:pt>
                <c:pt idx="230">
                  <c:v>-16.554165681617814</c:v>
                </c:pt>
                <c:pt idx="231">
                  <c:v>-17.021257008823198</c:v>
                </c:pt>
                <c:pt idx="232">
                  <c:v>-17.475986598590918</c:v>
                </c:pt>
                <c:pt idx="233">
                  <c:v>-17.91922482950276</c:v>
                </c:pt>
                <c:pt idx="234">
                  <c:v>-18.35173403943541</c:v>
                </c:pt>
                <c:pt idx="235">
                  <c:v>-18.774185846280446</c:v>
                </c:pt>
                <c:pt idx="236">
                  <c:v>-19.1871752741745</c:v>
                </c:pt>
                <c:pt idx="237">
                  <c:v>-19.591232346079465</c:v>
                </c:pt>
                <c:pt idx="238">
                  <c:v>-19.986831650835764</c:v>
                </c:pt>
                <c:pt idx="239">
                  <c:v>-20.374400279293447</c:v>
                </c:pt>
                <c:pt idx="240">
                  <c:v>-20.754324438758609</c:v>
                </c:pt>
                <c:pt idx="241">
                  <c:v>-21.126954990100444</c:v>
                </c:pt>
                <c:pt idx="242">
                  <c:v>-21.492612102040859</c:v>
                </c:pt>
                <c:pt idx="243">
                  <c:v>-21.851589178542991</c:v>
                </c:pt>
                <c:pt idx="244">
                  <c:v>-22.204156185045008</c:v>
                </c:pt>
                <c:pt idx="245">
                  <c:v>-22.550562475525116</c:v>
                </c:pt>
                <c:pt idx="246">
                  <c:v>-22.89103920353562</c:v>
                </c:pt>
                <c:pt idx="247">
                  <c:v>-23.225801385295007</c:v>
                </c:pt>
                <c:pt idx="248">
                  <c:v>-23.555049670839196</c:v>
                </c:pt>
                <c:pt idx="249">
                  <c:v>-23.878971869470305</c:v>
                </c:pt>
                <c:pt idx="250">
                  <c:v>-24.197744267817029</c:v>
                </c:pt>
                <c:pt idx="251">
                  <c:v>-24.511532772359136</c:v>
                </c:pt>
                <c:pt idx="252">
                  <c:v>-24.820493902977603</c:v>
                </c:pt>
                <c:pt idx="253">
                  <c:v>-25.124775659743083</c:v>
                </c:pt>
                <c:pt idx="254">
                  <c:v>-25.424518281568087</c:v>
                </c:pt>
                <c:pt idx="255">
                  <c:v>-25.719854912379759</c:v>
                </c:pt>
                <c:pt idx="256">
                  <c:v>-26.010912188006113</c:v>
                </c:pt>
                <c:pt idx="257">
                  <c:v>-26.297810754917968</c:v>
                </c:pt>
                <c:pt idx="258">
                  <c:v>-26.580665730257437</c:v>
                </c:pt>
                <c:pt idx="259">
                  <c:v>-26.859587111152553</c:v>
                </c:pt>
                <c:pt idx="260">
                  <c:v>-27.13468014011735</c:v>
                </c:pt>
                <c:pt idx="261">
                  <c:v>-27.406045632328638</c:v>
                </c:pt>
                <c:pt idx="262">
                  <c:v>-27.673780269721718</c:v>
                </c:pt>
                <c:pt idx="263">
                  <c:v>-27.937976866131375</c:v>
                </c:pt>
                <c:pt idx="264">
                  <c:v>-28.198724607099138</c:v>
                </c:pt>
                <c:pt idx="265">
                  <c:v>-28.456109267455826</c:v>
                </c:pt>
                <c:pt idx="266">
                  <c:v>-28.710213409353447</c:v>
                </c:pt>
                <c:pt idx="267">
                  <c:v>-28.961116563051728</c:v>
                </c:pt>
                <c:pt idx="268">
                  <c:v>-29.208895392450049</c:v>
                </c:pt>
                <c:pt idx="269">
                  <c:v>-29.453623847088089</c:v>
                </c:pt>
                <c:pt idx="270">
                  <c:v>-29.695373302109381</c:v>
                </c:pt>
                <c:pt idx="271">
                  <c:v>-29.934212687486919</c:v>
                </c:pt>
                <c:pt idx="272">
                  <c:v>-30.170208607641818</c:v>
                </c:pt>
                <c:pt idx="273">
                  <c:v>-30.403425452442853</c:v>
                </c:pt>
                <c:pt idx="274">
                  <c:v>-30.633925500450708</c:v>
                </c:pt>
                <c:pt idx="275">
                  <c:v>-30.861769015164594</c:v>
                </c:pt>
                <c:pt idx="276">
                  <c:v>-31.087014334936995</c:v>
                </c:pt>
                <c:pt idx="277">
                  <c:v>-31.309717957143377</c:v>
                </c:pt>
                <c:pt idx="278">
                  <c:v>-31.529934617124663</c:v>
                </c:pt>
                <c:pt idx="279">
                  <c:v>-31.747717362361172</c:v>
                </c:pt>
                <c:pt idx="280">
                  <c:v>-31.963117622284969</c:v>
                </c:pt>
                <c:pt idx="281">
                  <c:v>-32.176185274092653</c:v>
                </c:pt>
                <c:pt idx="282">
                  <c:v>-32.386968704881369</c:v>
                </c:pt>
                <c:pt idx="283">
                  <c:v>-32.595514870396968</c:v>
                </c:pt>
                <c:pt idx="284">
                  <c:v>-32.801869350652709</c:v>
                </c:pt>
                <c:pt idx="285">
                  <c:v>-33.006076402651388</c:v>
                </c:pt>
                <c:pt idx="286">
                  <c:v>-33.208179010420203</c:v>
                </c:pt>
                <c:pt idx="287">
                  <c:v>-33.408218932547499</c:v>
                </c:pt>
                <c:pt idx="288">
                  <c:v>-33.606236747392813</c:v>
                </c:pt>
                <c:pt idx="289">
                  <c:v>-33.802271896125575</c:v>
                </c:pt>
                <c:pt idx="290">
                  <c:v>-33.996362723734016</c:v>
                </c:pt>
                <c:pt idx="291">
                  <c:v>-34.188546518133229</c:v>
                </c:pt>
                <c:pt idx="292">
                  <c:v>-34.378859547490279</c:v>
                </c:pt>
                <c:pt idx="293">
                  <c:v>-34.567337095874471</c:v>
                </c:pt>
                <c:pt idx="294">
                  <c:v>-34.754013497331975</c:v>
                </c:pt>
                <c:pt idx="295">
                  <c:v>-34.938922168476147</c:v>
                </c:pt>
                <c:pt idx="296">
                  <c:v>-35.12209563967761</c:v>
                </c:pt>
                <c:pt idx="297">
                  <c:v>-35.30356558493213</c:v>
                </c:pt>
                <c:pt idx="298">
                  <c:v>-35.483362850478123</c:v>
                </c:pt>
                <c:pt idx="299">
                  <c:v>-35.661517482230799</c:v>
                </c:pt>
                <c:pt idx="300">
                  <c:v>-35.838058752094895</c:v>
                </c:pt>
                <c:pt idx="301">
                  <c:v>-36.013015183213994</c:v>
                </c:pt>
                <c:pt idx="302">
                  <c:v>-36.186414574210161</c:v>
                </c:pt>
                <c:pt idx="303">
                  <c:v>-36.358284022464431</c:v>
                </c:pt>
                <c:pt idx="304">
                  <c:v>-36.528649946485146</c:v>
                </c:pt>
                <c:pt idx="305">
                  <c:v>-36.697538107408334</c:v>
                </c:pt>
                <c:pt idx="306">
                  <c:v>-36.86497362967151</c:v>
                </c:pt>
                <c:pt idx="307">
                  <c:v>-37.030981020899773</c:v>
                </c:pt>
                <c:pt idx="308">
                  <c:v>-37.195584191040766</c:v>
                </c:pt>
                <c:pt idx="309">
                  <c:v>-37.358806470783001</c:v>
                </c:pt>
                <c:pt idx="310">
                  <c:v>-37.52067062928986</c:v>
                </c:pt>
                <c:pt idx="311">
                  <c:v>-37.681198891280147</c:v>
                </c:pt>
                <c:pt idx="312">
                  <c:v>-37.840412953483799</c:v>
                </c:pt>
                <c:pt idx="313">
                  <c:v>-37.998334000500442</c:v>
                </c:pt>
                <c:pt idx="314">
                  <c:v>-38.15498272008638</c:v>
                </c:pt>
                <c:pt idx="315">
                  <c:v>-38.310379317894785</c:v>
                </c:pt>
                <c:pt idx="316">
                  <c:v>-38.464543531692208</c:v>
                </c:pt>
                <c:pt idx="317">
                  <c:v>-38.617494645073378</c:v>
                </c:pt>
                <c:pt idx="318">
                  <c:v>-38.769251500695447</c:v>
                </c:pt>
                <c:pt idx="319">
                  <c:v>-38.919832513051261</c:v>
                </c:pt>
                <c:pt idx="320">
                  <c:v>-39.069255680800943</c:v>
                </c:pt>
                <c:pt idx="321">
                  <c:v>-39.217538598679326</c:v>
                </c:pt>
                <c:pt idx="322">
                  <c:v>-39.364698468996686</c:v>
                </c:pt>
                <c:pt idx="323">
                  <c:v>-39.510752112748968</c:v>
                </c:pt>
                <c:pt idx="324">
                  <c:v>-39.655715980352923</c:v>
                </c:pt>
                <c:pt idx="325">
                  <c:v>-39.799606162021107</c:v>
                </c:pt>
                <c:pt idx="326">
                  <c:v>-39.942438397790781</c:v>
                </c:pt>
                <c:pt idx="327">
                  <c:v>-40.084228087220197</c:v>
                </c:pt>
                <c:pt idx="328">
                  <c:v>-40.224990298765057</c:v>
                </c:pt>
                <c:pt idx="329">
                  <c:v>-40.364739778847607</c:v>
                </c:pt>
                <c:pt idx="330">
                  <c:v>-40.503490960629861</c:v>
                </c:pt>
                <c:pt idx="331">
                  <c:v>-40.641257972502345</c:v>
                </c:pt>
                <c:pt idx="332">
                  <c:v>-40.778054646298976</c:v>
                </c:pt>
                <c:pt idx="333">
                  <c:v>-40.913894525248409</c:v>
                </c:pt>
                <c:pt idx="334">
                  <c:v>-41.048790871671592</c:v>
                </c:pt>
                <c:pt idx="335">
                  <c:v>-41.18275667443492</c:v>
                </c:pt>
                <c:pt idx="336">
                  <c:v>-41.315804656168105</c:v>
                </c:pt>
                <c:pt idx="337">
                  <c:v>-41.447947280255107</c:v>
                </c:pt>
                <c:pt idx="338">
                  <c:v>-41.579196757606745</c:v>
                </c:pt>
                <c:pt idx="339">
                  <c:v>-41.709565053222434</c:v>
                </c:pt>
                <c:pt idx="340">
                  <c:v>-41.839063892549106</c:v>
                </c:pt>
                <c:pt idx="341">
                  <c:v>-41.967704767644214</c:v>
                </c:pt>
                <c:pt idx="342">
                  <c:v>-42.095498943149934</c:v>
                </c:pt>
                <c:pt idx="343">
                  <c:v>-42.222457462085281</c:v>
                </c:pt>
                <c:pt idx="344">
                  <c:v>-42.348591151462429</c:v>
                </c:pt>
                <c:pt idx="345">
                  <c:v>-42.473910627733545</c:v>
                </c:pt>
                <c:pt idx="346">
                  <c:v>-42.598426302073932</c:v>
                </c:pt>
                <c:pt idx="347">
                  <c:v>-42.722148385507126</c:v>
                </c:pt>
                <c:pt idx="348">
                  <c:v>-42.845086893877628</c:v>
                </c:pt>
                <c:pt idx="349">
                  <c:v>-42.967251652676161</c:v>
                </c:pt>
                <c:pt idx="350">
                  <c:v>-43.088652301722789</c:v>
                </c:pt>
                <c:pt idx="351">
                  <c:v>-43.209298299712557</c:v>
                </c:pt>
                <c:pt idx="352">
                  <c:v>-43.329198928628387</c:v>
                </c:pt>
                <c:pt idx="353">
                  <c:v>-43.448363298025598</c:v>
                </c:pt>
                <c:pt idx="354">
                  <c:v>-43.566800349192562</c:v>
                </c:pt>
                <c:pt idx="355">
                  <c:v>-43.6845188591913</c:v>
                </c:pt>
                <c:pt idx="356">
                  <c:v>-43.801527444782415</c:v>
                </c:pt>
                <c:pt idx="357">
                  <c:v>-43.917834566237708</c:v>
                </c:pt>
                <c:pt idx="358">
                  <c:v>-44.033448531044677</c:v>
                </c:pt>
                <c:pt idx="359">
                  <c:v>-44.148377497505933</c:v>
                </c:pt>
                <c:pt idx="360">
                  <c:v>-44.262629478237507</c:v>
                </c:pt>
                <c:pt idx="361">
                  <c:v>-44.376212343568675</c:v>
                </c:pt>
                <c:pt idx="362">
                  <c:v>-44.489133824847158</c:v>
                </c:pt>
                <c:pt idx="363">
                  <c:v>-44.601401517652249</c:v>
                </c:pt>
                <c:pt idx="364">
                  <c:v>-44.713022884919013</c:v>
                </c:pt>
                <c:pt idx="365">
                  <c:v>-44.824005259976367</c:v>
                </c:pt>
                <c:pt idx="366">
                  <c:v>-44.934355849501799</c:v>
                </c:pt>
                <c:pt idx="367">
                  <c:v>-45.044081736395285</c:v>
                </c:pt>
                <c:pt idx="368">
                  <c:v>-45.15318988257502</c:v>
                </c:pt>
                <c:pt idx="369">
                  <c:v>-45.261687131697414</c:v>
                </c:pt>
                <c:pt idx="370">
                  <c:v>-45.369580211803594</c:v>
                </c:pt>
                <c:pt idx="371">
                  <c:v>-45.476875737894858</c:v>
                </c:pt>
                <c:pt idx="372">
                  <c:v>-45.583580214439223</c:v>
                </c:pt>
                <c:pt idx="373">
                  <c:v>-45.689700037811072</c:v>
                </c:pt>
                <c:pt idx="374">
                  <c:v>-45.795241498666137</c:v>
                </c:pt>
                <c:pt idx="375">
                  <c:v>-45.900210784253687</c:v>
                </c:pt>
                <c:pt idx="376">
                  <c:v>-46.004613980667834</c:v>
                </c:pt>
                <c:pt idx="377">
                  <c:v>-46.108457075039794</c:v>
                </c:pt>
                <c:pt idx="378">
                  <c:v>-46.211745957672967</c:v>
                </c:pt>
                <c:pt idx="379">
                  <c:v>-46.314486424122443</c:v>
                </c:pt>
                <c:pt idx="380">
                  <c:v>-46.416684177220617</c:v>
                </c:pt>
                <c:pt idx="381">
                  <c:v>-46.518344829050662</c:v>
                </c:pt>
                <c:pt idx="382">
                  <c:v>-46.619473902869188</c:v>
                </c:pt>
                <c:pt idx="383">
                  <c:v>-46.720076834979679</c:v>
                </c:pt>
                <c:pt idx="384">
                  <c:v>-46.820158976558311</c:v>
                </c:pt>
                <c:pt idx="385">
                  <c:v>-46.919725595433228</c:v>
                </c:pt>
                <c:pt idx="386">
                  <c:v>-47.018781877818931</c:v>
                </c:pt>
                <c:pt idx="387">
                  <c:v>-47.117332930006995</c:v>
                </c:pt>
                <c:pt idx="388">
                  <c:v>-47.215383780014264</c:v>
                </c:pt>
                <c:pt idx="389">
                  <c:v>-47.312939379189856</c:v>
                </c:pt>
                <c:pt idx="390">
                  <c:v>-47.410004603782269</c:v>
                </c:pt>
                <c:pt idx="391">
                  <c:v>-47.506584256467448</c:v>
                </c:pt>
                <c:pt idx="392">
                  <c:v>-47.602683067839244</c:v>
                </c:pt>
                <c:pt idx="393">
                  <c:v>-47.698305697863077</c:v>
                </c:pt>
                <c:pt idx="394">
                  <c:v>-47.793456737293994</c:v>
                </c:pt>
                <c:pt idx="395">
                  <c:v>-47.888140709060096</c:v>
                </c:pt>
                <c:pt idx="396">
                  <c:v>-47.982362069612307</c:v>
                </c:pt>
                <c:pt idx="397">
                  <c:v>-48.076125210241365</c:v>
                </c:pt>
                <c:pt idx="398">
                  <c:v>-48.169434458363057</c:v>
                </c:pt>
                <c:pt idx="399">
                  <c:v>-48.262294078772541</c:v>
                </c:pt>
                <c:pt idx="400">
                  <c:v>-48.354708274868543</c:v>
                </c:pt>
                <c:pt idx="401">
                  <c:v>-48.446681189848363</c:v>
                </c:pt>
                <c:pt idx="402">
                  <c:v>-48.538216907874443</c:v>
                </c:pt>
                <c:pt idx="403">
                  <c:v>-48.629319455213249</c:v>
                </c:pt>
                <c:pt idx="404">
                  <c:v>-48.719992801347338</c:v>
                </c:pt>
                <c:pt idx="405">
                  <c:v>-48.810240860061157</c:v>
                </c:pt>
                <c:pt idx="406">
                  <c:v>-48.900067490501499</c:v>
                </c:pt>
                <c:pt idx="407">
                  <c:v>-48.989476498213051</c:v>
                </c:pt>
                <c:pt idx="408">
                  <c:v>-49.078471636150027</c:v>
                </c:pt>
                <c:pt idx="409">
                  <c:v>-49.167056605664172</c:v>
                </c:pt>
                <c:pt idx="410">
                  <c:v>-49.255235057470074</c:v>
                </c:pt>
                <c:pt idx="411">
                  <c:v>-49.343010592588179</c:v>
                </c:pt>
                <c:pt idx="412">
                  <c:v>-49.430386763266256</c:v>
                </c:pt>
                <c:pt idx="413">
                  <c:v>-49.517367073879711</c:v>
                </c:pt>
                <c:pt idx="414">
                  <c:v>-49.603954981811498</c:v>
                </c:pt>
                <c:pt idx="415">
                  <c:v>-49.690153898312055</c:v>
                </c:pt>
                <c:pt idx="416">
                  <c:v>-49.775967189339752</c:v>
                </c:pt>
                <c:pt idx="417">
                  <c:v>-49.861398176382501</c:v>
                </c:pt>
                <c:pt idx="418">
                  <c:v>-49.946450137260847</c:v>
                </c:pt>
                <c:pt idx="419">
                  <c:v>-50.03112630691318</c:v>
                </c:pt>
                <c:pt idx="420">
                  <c:v>-50.115429878163376</c:v>
                </c:pt>
                <c:pt idx="421">
                  <c:v>-50.199364002471533</c:v>
                </c:pt>
                <c:pt idx="422">
                  <c:v>-50.282931790667959</c:v>
                </c:pt>
                <c:pt idx="423">
                  <c:v>-50.366136313671063</c:v>
                </c:pt>
                <c:pt idx="424">
                  <c:v>-50.448980603189497</c:v>
                </c:pt>
                <c:pt idx="425">
                  <c:v>-50.531467652408921</c:v>
                </c:pt>
                <c:pt idx="426">
                  <c:v>-50.613600416663758</c:v>
                </c:pt>
                <c:pt idx="427">
                  <c:v>-50.695381814094446</c:v>
                </c:pt>
                <c:pt idx="428">
                  <c:v>-50.776814726290375</c:v>
                </c:pt>
                <c:pt idx="429">
                  <c:v>-50.857901998919019</c:v>
                </c:pt>
                <c:pt idx="430">
                  <c:v>-50.938646442341557</c:v>
                </c:pt>
                <c:pt idx="431">
                  <c:v>-51.019050832215243</c:v>
                </c:pt>
                <c:pt idx="432">
                  <c:v>-51.09911791008301</c:v>
                </c:pt>
                <c:pt idx="433">
                  <c:v>-51.178850383950504</c:v>
                </c:pt>
                <c:pt idx="434">
                  <c:v>-51.258250928850877</c:v>
                </c:pt>
                <c:pt idx="435">
                  <c:v>-51.337322187397696</c:v>
                </c:pt>
                <c:pt idx="436">
                  <c:v>-51.416066770326189</c:v>
                </c:pt>
                <c:pt idx="437">
                  <c:v>-51.494487257023195</c:v>
                </c:pt>
                <c:pt idx="438">
                  <c:v>-51.572586196046004</c:v>
                </c:pt>
                <c:pt idx="439">
                  <c:v>-51.650366105630425</c:v>
                </c:pt>
                <c:pt idx="440">
                  <c:v>-51.727829474188319</c:v>
                </c:pt>
                <c:pt idx="441">
                  <c:v>-51.804978760794867</c:v>
                </c:pt>
                <c:pt idx="442">
                  <c:v>-51.881816395665759</c:v>
                </c:pt>
                <c:pt idx="443">
                  <c:v>-51.95834478062465</c:v>
                </c:pt>
                <c:pt idx="444">
                  <c:v>-52.034566289561042</c:v>
                </c:pt>
                <c:pt idx="445">
                  <c:v>-52.110483268878873</c:v>
                </c:pt>
                <c:pt idx="446">
                  <c:v>-52.186098037935906</c:v>
                </c:pt>
                <c:pt idx="447">
                  <c:v>-52.261412889474371</c:v>
                </c:pt>
                <c:pt idx="448">
                  <c:v>-52.336430090042818</c:v>
                </c:pt>
                <c:pt idx="449">
                  <c:v>-52.411151880409584</c:v>
                </c:pt>
                <c:pt idx="450">
                  <c:v>-52.485580475967907</c:v>
                </c:pt>
                <c:pt idx="451">
                  <c:v>-52.559718067133041</c:v>
                </c:pt>
                <c:pt idx="452">
                  <c:v>-52.633566819731435</c:v>
                </c:pt>
                <c:pt idx="453">
                  <c:v>-52.707128875382274</c:v>
                </c:pt>
                <c:pt idx="454">
                  <c:v>-52.780406351871392</c:v>
                </c:pt>
                <c:pt idx="455">
                  <c:v>-52.853401343517923</c:v>
                </c:pt>
                <c:pt idx="456">
                  <c:v>-52.926115921533771</c:v>
                </c:pt>
                <c:pt idx="457">
                  <c:v>-52.998552134376027</c:v>
                </c:pt>
                <c:pt idx="458">
                  <c:v>-53.070712008092549</c:v>
                </c:pt>
                <c:pt idx="459">
                  <c:v>-53.142597546660902</c:v>
                </c:pt>
                <c:pt idx="460">
                  <c:v>-53.214210732320637</c:v>
                </c:pt>
                <c:pt idx="461">
                  <c:v>-53.285553525899331</c:v>
                </c:pt>
                <c:pt idx="462">
                  <c:v>-53.356627867132246</c:v>
                </c:pt>
                <c:pt idx="463">
                  <c:v>-53.42743567497601</c:v>
                </c:pt>
                <c:pt idx="464">
                  <c:v>-53.497978847916201</c:v>
                </c:pt>
                <c:pt idx="465">
                  <c:v>-53.568259264269216</c:v>
                </c:pt>
                <c:pt idx="466">
                  <c:v>-53.638278782478395</c:v>
                </c:pt>
                <c:pt idx="467">
                  <c:v>-53.708039241404506</c:v>
                </c:pt>
                <c:pt idx="468">
                  <c:v>-53.777542460610931</c:v>
                </c:pt>
                <c:pt idx="469">
                  <c:v>-53.846790240643372</c:v>
                </c:pt>
                <c:pt idx="470">
                  <c:v>-53.915784363304496</c:v>
                </c:pt>
                <c:pt idx="471">
                  <c:v>-53.984526591923327</c:v>
                </c:pt>
                <c:pt idx="472">
                  <c:v>-54.053018671619803</c:v>
                </c:pt>
                <c:pt idx="473">
                  <c:v>-54.121262329564381</c:v>
                </c:pt>
                <c:pt idx="474">
                  <c:v>-54.189259275232914</c:v>
                </c:pt>
                <c:pt idx="475">
                  <c:v>-54.257011200656848</c:v>
                </c:pt>
                <c:pt idx="476">
                  <c:v>-54.324519780668865</c:v>
                </c:pt>
                <c:pt idx="477">
                  <c:v>-54.391786673144111</c:v>
                </c:pt>
                <c:pt idx="478">
                  <c:v>-54.458813519236962</c:v>
                </c:pt>
                <c:pt idx="479">
                  <c:v>-54.52560194361368</c:v>
                </c:pt>
                <c:pt idx="480">
                  <c:v>-54.592153554680706</c:v>
                </c:pt>
                <c:pt idx="481">
                  <c:v>-54.658469944809042</c:v>
                </c:pt>
                <c:pt idx="482">
                  <c:v>-54.724552690554525</c:v>
                </c:pt>
                <c:pt idx="483">
                  <c:v>-54.790403352874264</c:v>
                </c:pt>
                <c:pt idx="484">
                  <c:v>-54.85602347733915</c:v>
                </c:pt>
                <c:pt idx="485">
                  <c:v>-54.921414594342707</c:v>
                </c:pt>
                <c:pt idx="486">
                  <c:v>-54.986578219306288</c:v>
                </c:pt>
                <c:pt idx="487">
                  <c:v>-55.051515852880605</c:v>
                </c:pt>
                <c:pt idx="488">
                  <c:v>-55.116228981143763</c:v>
                </c:pt>
                <c:pt idx="489">
                  <c:v>-55.180719075795956</c:v>
                </c:pt>
                <c:pt idx="490">
                  <c:v>-55.244987594350611</c:v>
                </c:pt>
                <c:pt idx="491">
                  <c:v>-55.30903598032242</c:v>
                </c:pt>
                <c:pt idx="492">
                  <c:v>-55.372865663412021</c:v>
                </c:pt>
                <c:pt idx="493">
                  <c:v>-55.436478059687573</c:v>
                </c:pt>
                <c:pt idx="494">
                  <c:v>-55.4998745717632</c:v>
                </c:pt>
                <c:pt idx="495">
                  <c:v>-55.563056588974447</c:v>
                </c:pt>
                <c:pt idx="496">
                  <c:v>-55.626025487550727</c:v>
                </c:pt>
                <c:pt idx="497">
                  <c:v>-55.688782630784893</c:v>
                </c:pt>
                <c:pt idx="498">
                  <c:v>-55.751329369199894</c:v>
                </c:pt>
                <c:pt idx="499">
                  <c:v>-55.813667040712744</c:v>
                </c:pt>
                <c:pt idx="500">
                  <c:v>-55.875796970795676</c:v>
                </c:pt>
                <c:pt idx="501">
                  <c:v>-55.937720472634624</c:v>
                </c:pt>
                <c:pt idx="502">
                  <c:v>-55.99943884728512</c:v>
                </c:pt>
                <c:pt idx="503">
                  <c:v>-56.060953383825606</c:v>
                </c:pt>
                <c:pt idx="504">
                  <c:v>-56.122265359508184</c:v>
                </c:pt>
                <c:pt idx="505">
                  <c:v>-56.183376039906953</c:v>
                </c:pt>
                <c:pt idx="506">
                  <c:v>-56.244286679063869</c:v>
                </c:pt>
                <c:pt idx="507">
                  <c:v>-56.304998519632321</c:v>
                </c:pt>
                <c:pt idx="508">
                  <c:v>-56.365512793018297</c:v>
                </c:pt>
                <c:pt idx="509">
                  <c:v>-56.425830719519269</c:v>
                </c:pt>
                <c:pt idx="510">
                  <c:v>-56.485953508460945</c:v>
                </c:pt>
                <c:pt idx="511">
                  <c:v>-56.545882358331681</c:v>
                </c:pt>
                <c:pt idx="512">
                  <c:v>-56.605618456914904</c:v>
                </c:pt>
                <c:pt idx="513">
                  <c:v>-56.665162981419293</c:v>
                </c:pt>
                <c:pt idx="514">
                  <c:v>-56.724517098606988</c:v>
                </c:pt>
                <c:pt idx="515">
                  <c:v>-56.783681964919737</c:v>
                </c:pt>
                <c:pt idx="516">
                  <c:v>-56.842658726603048</c:v>
                </c:pt>
                <c:pt idx="517">
                  <c:v>-56.901448519828449</c:v>
                </c:pt>
                <c:pt idx="518">
                  <c:v>-56.960052470813736</c:v>
                </c:pt>
                <c:pt idx="519">
                  <c:v>-57.018471695941493</c:v>
                </c:pt>
                <c:pt idx="520">
                  <c:v>-57.076707301875643</c:v>
                </c:pt>
                <c:pt idx="521">
                  <c:v>-57.134760385676245</c:v>
                </c:pt>
                <c:pt idx="522">
                  <c:v>-57.192632034912592</c:v>
                </c:pt>
                <c:pt idx="523">
                  <c:v>-57.250323327774439</c:v>
                </c:pt>
                <c:pt idx="524">
                  <c:v>-57.307835333181643</c:v>
                </c:pt>
                <c:pt idx="525">
                  <c:v>-57.365169110892118</c:v>
                </c:pt>
                <c:pt idx="526">
                  <c:v>-57.422325711608082</c:v>
                </c:pt>
                <c:pt idx="527">
                  <c:v>-57.479306177080772</c:v>
                </c:pt>
                <c:pt idx="528">
                  <c:v>-57.536111540213568</c:v>
                </c:pt>
                <c:pt idx="529">
                  <c:v>-57.592742825163526</c:v>
                </c:pt>
                <c:pt idx="530">
                  <c:v>-57.649201047441494</c:v>
                </c:pt>
                <c:pt idx="531">
                  <c:v>-57.705487214010553</c:v>
                </c:pt>
                <c:pt idx="532">
                  <c:v>-57.761602323383237</c:v>
                </c:pt>
                <c:pt idx="533">
                  <c:v>-57.81754736571709</c:v>
                </c:pt>
                <c:pt idx="534">
                  <c:v>-57.873323322908988</c:v>
                </c:pt>
                <c:pt idx="535">
                  <c:v>-57.928931168687967</c:v>
                </c:pt>
                <c:pt idx="536">
                  <c:v>-57.984371868706724</c:v>
                </c:pt>
                <c:pt idx="537">
                  <c:v>-58.039646380631808</c:v>
                </c:pt>
                <c:pt idx="538">
                  <c:v>-58.094755654232458</c:v>
                </c:pt>
                <c:pt idx="539">
                  <c:v>-58.149700631468207</c:v>
                </c:pt>
                <c:pt idx="540">
                  <c:v>-58.204482246575182</c:v>
                </c:pt>
                <c:pt idx="541">
                  <c:v>-58.259101426151148</c:v>
                </c:pt>
                <c:pt idx="542">
                  <c:v>-58.313559089239405</c:v>
                </c:pt>
                <c:pt idx="543">
                  <c:v>-58.36785614741143</c:v>
                </c:pt>
                <c:pt idx="544">
                  <c:v>-58.421993504848338</c:v>
                </c:pt>
                <c:pt idx="545">
                  <c:v>-58.47597205842122</c:v>
                </c:pt>
                <c:pt idx="546">
                  <c:v>-58.529792697770361</c:v>
                </c:pt>
                <c:pt idx="547">
                  <c:v>-58.583456305383244</c:v>
                </c:pt>
                <c:pt idx="548">
                  <c:v>-58.636963756671648</c:v>
                </c:pt>
                <c:pt idx="549">
                  <c:v>-58.690315920047453</c:v>
                </c:pt>
                <c:pt idx="550">
                  <c:v>-58.743513656997536</c:v>
                </c:pt>
                <c:pt idx="551">
                  <c:v>-58.796557822157567</c:v>
                </c:pt>
                <c:pt idx="552">
                  <c:v>-58.849449263384827</c:v>
                </c:pt>
                <c:pt idx="553">
                  <c:v>-58.902188821829938</c:v>
                </c:pt>
                <c:pt idx="554">
                  <c:v>-58.954777332007765</c:v>
                </c:pt>
                <c:pt idx="555">
                  <c:v>-59.007215621867132</c:v>
                </c:pt>
                <c:pt idx="556">
                  <c:v>-59.059504512859803</c:v>
                </c:pt>
                <c:pt idx="557">
                  <c:v>-59.111644820008365</c:v>
                </c:pt>
                <c:pt idx="558">
                  <c:v>-59.163637351973279</c:v>
                </c:pt>
                <c:pt idx="559">
                  <c:v>-59.215482911119004</c:v>
                </c:pt>
                <c:pt idx="560">
                  <c:v>-59.267182293579204</c:v>
                </c:pt>
                <c:pt idx="561">
                  <c:v>-59.318736289321151</c:v>
                </c:pt>
                <c:pt idx="562">
                  <c:v>-59.370145682209156</c:v>
                </c:pt>
                <c:pt idx="563">
                  <c:v>-59.42141125006728</c:v>
                </c:pt>
                <c:pt idx="564">
                  <c:v>-59.472533764741151</c:v>
                </c:pt>
                <c:pt idx="565">
                  <c:v>-59.523513992158925</c:v>
                </c:pt>
                <c:pt idx="566">
                  <c:v>-59.5743526923915</c:v>
                </c:pt>
                <c:pt idx="567">
                  <c:v>-59.625050619711985</c:v>
                </c:pt>
                <c:pt idx="568">
                  <c:v>-59.67560852265423</c:v>
                </c:pt>
                <c:pt idx="569">
                  <c:v>-59.726027144070777</c:v>
                </c:pt>
                <c:pt idx="570">
                  <c:v>-59.776307221189924</c:v>
                </c:pt>
                <c:pt idx="571">
                  <c:v>-59.826449485672129</c:v>
                </c:pt>
                <c:pt idx="572">
                  <c:v>-59.876454663665619</c:v>
                </c:pt>
                <c:pt idx="573">
                  <c:v>-59.926323475861388</c:v>
                </c:pt>
                <c:pt idx="574">
                  <c:v>-59.976056637547323</c:v>
                </c:pt>
                <c:pt idx="575">
                  <c:v>-60.025654858661817</c:v>
                </c:pt>
                <c:pt idx="576">
                  <c:v>-60.075118843846596</c:v>
                </c:pt>
                <c:pt idx="577">
                  <c:v>-60.124449292498866</c:v>
                </c:pt>
                <c:pt idx="578">
                  <c:v>-60.173646898822852</c:v>
                </c:pt>
                <c:pt idx="579">
                  <c:v>-60.222712351880688</c:v>
                </c:pt>
                <c:pt idx="580">
                  <c:v>-60.2716463356426</c:v>
                </c:pt>
                <c:pt idx="581">
                  <c:v>-60.320449529036502</c:v>
                </c:pt>
                <c:pt idx="582">
                  <c:v>-60.369122605997028</c:v>
                </c:pt>
                <c:pt idx="583">
                  <c:v>-60.417666235513828</c:v>
                </c:pt>
                <c:pt idx="584">
                  <c:v>-60.466081081679384</c:v>
                </c:pt>
                <c:pt idx="585">
                  <c:v>-60.514367803736135</c:v>
                </c:pt>
                <c:pt idx="586">
                  <c:v>-60.562527056123145</c:v>
                </c:pt>
                <c:pt idx="587">
                  <c:v>-60.610559488522007</c:v>
                </c:pt>
                <c:pt idx="588">
                  <c:v>-60.658465745902404</c:v>
                </c:pt>
                <c:pt idx="589">
                  <c:v>-60.706246468566945</c:v>
                </c:pt>
                <c:pt idx="590">
                  <c:v>-60.753902292195569</c:v>
                </c:pt>
                <c:pt idx="591">
                  <c:v>-60.801433847889257</c:v>
                </c:pt>
                <c:pt idx="592">
                  <c:v>-60.848841762213411</c:v>
                </c:pt>
                <c:pt idx="593">
                  <c:v>-60.896126657240586</c:v>
                </c:pt>
                <c:pt idx="594">
                  <c:v>-60.943289150592712</c:v>
                </c:pt>
                <c:pt idx="595">
                  <c:v>-60.990329855482841</c:v>
                </c:pt>
                <c:pt idx="596">
                  <c:v>-61.037249380756393</c:v>
                </c:pt>
                <c:pt idx="597">
                  <c:v>-61.084048330931864</c:v>
                </c:pt>
                <c:pt idx="598">
                  <c:v>-61.130727306241177</c:v>
                </c:pt>
                <c:pt idx="599">
                  <c:v>-61.17728690266933</c:v>
                </c:pt>
                <c:pt idx="600">
                  <c:v>-61.223727711993838</c:v>
                </c:pt>
                <c:pt idx="601">
                  <c:v>-61.27005032182349</c:v>
                </c:pt>
                <c:pt idx="602">
                  <c:v>-61.316255315636809</c:v>
                </c:pt>
                <c:pt idx="603">
                  <c:v>-61.362343272819956</c:v>
                </c:pt>
                <c:pt idx="604">
                  <c:v>-61.408314768704216</c:v>
                </c:pt>
                <c:pt idx="605">
                  <c:v>-61.45417037460313</c:v>
                </c:pt>
                <c:pt idx="606">
                  <c:v>-63.610746342928415</c:v>
                </c:pt>
                <c:pt idx="607">
                  <c:v>-65.537650253422186</c:v>
                </c:pt>
                <c:pt idx="608">
                  <c:v>-67.27898943330996</c:v>
                </c:pt>
                <c:pt idx="609">
                  <c:v>-68.86769874437843</c:v>
                </c:pt>
                <c:pt idx="610">
                  <c:v>-70.328934055548785</c:v>
                </c:pt>
                <c:pt idx="611">
                  <c:v>-71.682285891455422</c:v>
                </c:pt>
                <c:pt idx="612">
                  <c:v>-72.943271135785736</c:v>
                </c:pt>
                <c:pt idx="613">
                  <c:v>-74.124365143178906</c:v>
                </c:pt>
                <c:pt idx="614">
                  <c:v>-75.235732079502185</c:v>
                </c:pt>
                <c:pt idx="615">
                  <c:v>-76.285752003636588</c:v>
                </c:pt>
                <c:pt idx="616">
                  <c:v>-77.281408019435403</c:v>
                </c:pt>
                <c:pt idx="617">
                  <c:v>-78.228575217983945</c:v>
                </c:pt>
                <c:pt idx="618">
                  <c:v>-78.594664746777241</c:v>
                </c:pt>
                <c:pt idx="619">
                  <c:v>-78.953946068081791</c:v>
                </c:pt>
                <c:pt idx="620">
                  <c:v>-79.306700408288648</c:v>
                </c:pt>
                <c:pt idx="621">
                  <c:v>-79.653192153609652</c:v>
                </c:pt>
                <c:pt idx="622">
                  <c:v>-79.993670145213372</c:v>
                </c:pt>
                <c:pt idx="623">
                  <c:v>-80.328368853381136</c:v>
                </c:pt>
                <c:pt idx="624">
                  <c:v>-80.657509443859666</c:v>
                </c:pt>
                <c:pt idx="625">
                  <c:v>-80.981300747963232</c:v>
                </c:pt>
                <c:pt idx="626">
                  <c:v>-81.299940146575537</c:v>
                </c:pt>
                <c:pt idx="627">
                  <c:v>-81.613614376988352</c:v>
                </c:pt>
                <c:pt idx="628">
                  <c:v>-81.922500270461299</c:v>
                </c:pt>
                <c:pt idx="629">
                  <c:v>-82.22676542747206</c:v>
                </c:pt>
                <c:pt idx="630">
                  <c:v>-82.526568836829796</c:v>
                </c:pt>
                <c:pt idx="631">
                  <c:v>-82.822061444128693</c:v>
                </c:pt>
                <c:pt idx="632">
                  <c:v>-83.113386674410364</c:v>
                </c:pt>
                <c:pt idx="633">
                  <c:v>-83.400680913370422</c:v>
                </c:pt>
                <c:pt idx="634">
                  <c:v>-83.684073950977051</c:v>
                </c:pt>
                <c:pt idx="635">
                  <c:v>-83.963689390957114</c:v>
                </c:pt>
                <c:pt idx="636">
                  <c:v>-84.239645029242837</c:v>
                </c:pt>
                <c:pt idx="637">
                  <c:v>-84.512053204151528</c:v>
                </c:pt>
                <c:pt idx="638">
                  <c:v>-84.781021120788282</c:v>
                </c:pt>
                <c:pt idx="639">
                  <c:v>-85.046651151909401</c:v>
                </c:pt>
                <c:pt idx="640">
                  <c:v>-85.309041117263348</c:v>
                </c:pt>
                <c:pt idx="641">
                  <c:v>-85.568284543226355</c:v>
                </c:pt>
                <c:pt idx="642">
                  <c:v>-85.824470904375616</c:v>
                </c:pt>
                <c:pt idx="643">
                  <c:v>-86.077685848484165</c:v>
                </c:pt>
                <c:pt idx="644">
                  <c:v>-86.328011406282997</c:v>
                </c:pt>
                <c:pt idx="645">
                  <c:v>-86.575526187209263</c:v>
                </c:pt>
                <c:pt idx="646">
                  <c:v>-86.820305562248436</c:v>
                </c:pt>
                <c:pt idx="647">
                  <c:v>-87.062421834876673</c:v>
                </c:pt>
                <c:pt idx="648">
                  <c:v>-87.301944401019711</c:v>
                </c:pt>
                <c:pt idx="649">
                  <c:v>-87.538939898863674</c:v>
                </c:pt>
                <c:pt idx="650">
                  <c:v>-87.773472349279245</c:v>
                </c:pt>
                <c:pt idx="651">
                  <c:v>-88.005603287555644</c:v>
                </c:pt>
                <c:pt idx="652">
                  <c:v>-88.23539188708061</c:v>
                </c:pt>
                <c:pt idx="653">
                  <c:v>-88.46289507554927</c:v>
                </c:pt>
                <c:pt idx="654">
                  <c:v>-88.688167644235776</c:v>
                </c:pt>
                <c:pt idx="655">
                  <c:v>-88.911262350817864</c:v>
                </c:pt>
                <c:pt idx="656">
                  <c:v>-89.132230016204318</c:v>
                </c:pt>
                <c:pt idx="657">
                  <c:v>-89.351119615778956</c:v>
                </c:pt>
                <c:pt idx="658">
                  <c:v>-89.567978365441846</c:v>
                </c:pt>
                <c:pt idx="659">
                  <c:v>-89.782851802798703</c:v>
                </c:pt>
                <c:pt idx="660">
                  <c:v>-89.9957838638216</c:v>
                </c:pt>
                <c:pt idx="661">
                  <c:v>-90.206816955279393</c:v>
                </c:pt>
                <c:pt idx="662">
                  <c:v>-90.415992023213846</c:v>
                </c:pt>
                <c:pt idx="663">
                  <c:v>-90.623348617716005</c:v>
                </c:pt>
                <c:pt idx="664">
                  <c:v>-90.828924954238857</c:v>
                </c:pt>
                <c:pt idx="665">
                  <c:v>-91.032757971664822</c:v>
                </c:pt>
                <c:pt idx="666">
                  <c:v>-91.234883387330257</c:v>
                </c:pt>
                <c:pt idx="667">
                  <c:v>-91.435335749195218</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90.010225250474875</c:v>
                </c:pt>
                <c:pt idx="1">
                  <c:v>90.020450500488067</c:v>
                </c:pt>
                <c:pt idx="2">
                  <c:v>90.030675749577838</c:v>
                </c:pt>
                <c:pt idx="3">
                  <c:v>90.040900997282506</c:v>
                </c:pt>
                <c:pt idx="4">
                  <c:v>90.051126243140359</c:v>
                </c:pt>
                <c:pt idx="5">
                  <c:v>90.061351486689702</c:v>
                </c:pt>
                <c:pt idx="6">
                  <c:v>90.071576727468837</c:v>
                </c:pt>
                <c:pt idx="7">
                  <c:v>90.081801965016041</c:v>
                </c:pt>
                <c:pt idx="8">
                  <c:v>90.09202719886963</c:v>
                </c:pt>
                <c:pt idx="9">
                  <c:v>90.102252428567922</c:v>
                </c:pt>
                <c:pt idx="10">
                  <c:v>90.204504395434299</c:v>
                </c:pt>
                <c:pt idx="11">
                  <c:v>90.306755438902371</c:v>
                </c:pt>
                <c:pt idx="12">
                  <c:v>90.409005097284734</c:v>
                </c:pt>
                <c:pt idx="13">
                  <c:v>90.511252908908105</c:v>
                </c:pt>
                <c:pt idx="14">
                  <c:v>90.613498412118062</c:v>
                </c:pt>
                <c:pt idx="15">
                  <c:v>90.715741145283673</c:v>
                </c:pt>
                <c:pt idx="16">
                  <c:v>90.817980646802312</c:v>
                </c:pt>
                <c:pt idx="17">
                  <c:v>90.92021645510421</c:v>
                </c:pt>
                <c:pt idx="18">
                  <c:v>91.022448108657301</c:v>
                </c:pt>
                <c:pt idx="19">
                  <c:v>92.044434632258088</c:v>
                </c:pt>
                <c:pt idx="20">
                  <c:v>93.065498455686324</c:v>
                </c:pt>
                <c:pt idx="21">
                  <c:v>94.085179401133331</c:v>
                </c:pt>
                <c:pt idx="22">
                  <c:v>95.10301869033411</c:v>
                </c:pt>
                <c:pt idx="23">
                  <c:v>96.118559399152218</c:v>
                </c:pt>
                <c:pt idx="24">
                  <c:v>97.131346902042566</c:v>
                </c:pt>
                <c:pt idx="25">
                  <c:v>98.140929303990134</c:v>
                </c:pt>
                <c:pt idx="26">
                  <c:v>99.146857857605596</c:v>
                </c:pt>
                <c:pt idx="27">
                  <c:v>100.14868736315574</c:v>
                </c:pt>
                <c:pt idx="28">
                  <c:v>105.08106165948021</c:v>
                </c:pt>
                <c:pt idx="29">
                  <c:v>109.84682038989894</c:v>
                </c:pt>
                <c:pt idx="30">
                  <c:v>114.39613623800223</c:v>
                </c:pt>
                <c:pt idx="31">
                  <c:v>118.68309162035189</c:v>
                </c:pt>
                <c:pt idx="32">
                  <c:v>122.66559006827229</c:v>
                </c:pt>
                <c:pt idx="33">
                  <c:v>126.30476630847517</c:v>
                </c:pt>
                <c:pt idx="34">
                  <c:v>129.56393650968982</c:v>
                </c:pt>
                <c:pt idx="35">
                  <c:v>132.40715189826659</c:v>
                </c:pt>
                <c:pt idx="36">
                  <c:v>134.79742956534537</c:v>
                </c:pt>
                <c:pt idx="37">
                  <c:v>136.69474669081222</c:v>
                </c:pt>
                <c:pt idx="38">
                  <c:v>138.05392014547834</c:v>
                </c:pt>
                <c:pt idx="39">
                  <c:v>138.82258648692323</c:v>
                </c:pt>
                <c:pt idx="40">
                  <c:v>138.93970018816657</c:v>
                </c:pt>
                <c:pt idx="41">
                  <c:v>138.33535396761985</c:v>
                </c:pt>
                <c:pt idx="42">
                  <c:v>136.93336662392122</c:v>
                </c:pt>
                <c:pt idx="43">
                  <c:v>134.65894969936437</c:v>
                </c:pt>
                <c:pt idx="44">
                  <c:v>131.45443857628732</c:v>
                </c:pt>
                <c:pt idx="45">
                  <c:v>127.30526387210028</c:v>
                </c:pt>
                <c:pt idx="46">
                  <c:v>122.2737078064943</c:v>
                </c:pt>
                <c:pt idx="47">
                  <c:v>116.52814946913433</c:v>
                </c:pt>
                <c:pt idx="48">
                  <c:v>110.34568216375992</c:v>
                </c:pt>
                <c:pt idx="49">
                  <c:v>104.07071233282504</c:v>
                </c:pt>
                <c:pt idx="50">
                  <c:v>98.039479390512625</c:v>
                </c:pt>
                <c:pt idx="51">
                  <c:v>92.508683782976377</c:v>
                </c:pt>
                <c:pt idx="52">
                  <c:v>87.622784260511537</c:v>
                </c:pt>
                <c:pt idx="53">
                  <c:v>83.423559327369148</c:v>
                </c:pt>
                <c:pt idx="54">
                  <c:v>79.881841728450226</c:v>
                </c:pt>
                <c:pt idx="55">
                  <c:v>76.930578201342499</c:v>
                </c:pt>
                <c:pt idx="56">
                  <c:v>74.489093108726578</c:v>
                </c:pt>
                <c:pt idx="57">
                  <c:v>72.477393532059068</c:v>
                </c:pt>
                <c:pt idx="58">
                  <c:v>70.823067863139372</c:v>
                </c:pt>
                <c:pt idx="59">
                  <c:v>69.463702053236744</c:v>
                </c:pt>
                <c:pt idx="60">
                  <c:v>68.346957475155421</c:v>
                </c:pt>
                <c:pt idx="61">
                  <c:v>67.429608714703235</c:v>
                </c:pt>
                <c:pt idx="62">
                  <c:v>66.676238117188547</c:v>
                </c:pt>
                <c:pt idx="63">
                  <c:v>66.057923447491049</c:v>
                </c:pt>
                <c:pt idx="64">
                  <c:v>65.551059684614074</c:v>
                </c:pt>
                <c:pt idx="65">
                  <c:v>65.136358118207767</c:v>
                </c:pt>
                <c:pt idx="66">
                  <c:v>64.798020956524809</c:v>
                </c:pt>
                <c:pt idx="67">
                  <c:v>64.523071696568692</c:v>
                </c:pt>
                <c:pt idx="68">
                  <c:v>64.300816532851286</c:v>
                </c:pt>
                <c:pt idx="69">
                  <c:v>64.122412866852372</c:v>
                </c:pt>
                <c:pt idx="70">
                  <c:v>63.980523959787845</c:v>
                </c:pt>
                <c:pt idx="71">
                  <c:v>63.869042277211264</c:v>
                </c:pt>
                <c:pt idx="72">
                  <c:v>63.782867386191256</c:v>
                </c:pt>
                <c:pt idx="73">
                  <c:v>63.717727124576811</c:v>
                </c:pt>
                <c:pt idx="74">
                  <c:v>63.670033118212615</c:v>
                </c:pt>
                <c:pt idx="75">
                  <c:v>63.636763615110425</c:v>
                </c:pt>
                <c:pt idx="76">
                  <c:v>63.615368104534099</c:v>
                </c:pt>
                <c:pt idx="77">
                  <c:v>63.603689366180234</c:v>
                </c:pt>
                <c:pt idx="78">
                  <c:v>63.599899515449181</c:v>
                </c:pt>
                <c:pt idx="79">
                  <c:v>63.602447330006399</c:v>
                </c:pt>
                <c:pt idx="80">
                  <c:v>63.610014704777996</c:v>
                </c:pt>
                <c:pt idx="81">
                  <c:v>63.621480522254302</c:v>
                </c:pt>
                <c:pt idx="82">
                  <c:v>63.635890569892524</c:v>
                </c:pt>
                <c:pt idx="83">
                  <c:v>63.652432407731112</c:v>
                </c:pt>
                <c:pt idx="84">
                  <c:v>63.670414303470807</c:v>
                </c:pt>
                <c:pt idx="85">
                  <c:v>63.689247521875657</c:v>
                </c:pt>
                <c:pt idx="86">
                  <c:v>63.708431390164577</c:v>
                </c:pt>
                <c:pt idx="87">
                  <c:v>63.727540668633509</c:v>
                </c:pt>
                <c:pt idx="88">
                  <c:v>63.746214841899047</c:v>
                </c:pt>
                <c:pt idx="89">
                  <c:v>63.764149015411803</c:v>
                </c:pt>
                <c:pt idx="90">
                  <c:v>63.78108615777019</c:v>
                </c:pt>
                <c:pt idx="91">
                  <c:v>63.796810474622632</c:v>
                </c:pt>
                <c:pt idx="92">
                  <c:v>63.811141736728004</c:v>
                </c:pt>
                <c:pt idx="93">
                  <c:v>63.823930414743501</c:v>
                </c:pt>
                <c:pt idx="94">
                  <c:v>63.835053497859946</c:v>
                </c:pt>
                <c:pt idx="95">
                  <c:v>63.844410893565581</c:v>
                </c:pt>
                <c:pt idx="96">
                  <c:v>63.851922322423604</c:v>
                </c:pt>
                <c:pt idx="97">
                  <c:v>63.857524635472913</c:v>
                </c:pt>
                <c:pt idx="98">
                  <c:v>63.861169493235039</c:v>
                </c:pt>
                <c:pt idx="99">
                  <c:v>63.862821354765771</c:v>
                </c:pt>
                <c:pt idx="100">
                  <c:v>63.862455733072167</c:v>
                </c:pt>
                <c:pt idx="101">
                  <c:v>63.860057679805422</c:v>
                </c:pt>
                <c:pt idx="102">
                  <c:v>63.855620467663911</c:v>
                </c:pt>
                <c:pt idx="103">
                  <c:v>63.849144443581068</c:v>
                </c:pt>
                <c:pt idx="104">
                  <c:v>63.840636029684134</c:v>
                </c:pt>
                <c:pt idx="105">
                  <c:v>63.83010685231234</c:v>
                </c:pt>
                <c:pt idx="106">
                  <c:v>63.817572982177111</c:v>
                </c:pt>
                <c:pt idx="107">
                  <c:v>63.803054271119137</c:v>
                </c:pt>
                <c:pt idx="108">
                  <c:v>63.786573772933764</c:v>
                </c:pt>
                <c:pt idx="109">
                  <c:v>63.76815723745311</c:v>
                </c:pt>
                <c:pt idx="110">
                  <c:v>63.747832668540497</c:v>
                </c:pt>
                <c:pt idx="111">
                  <c:v>63.725629937907158</c:v>
                </c:pt>
                <c:pt idx="112">
                  <c:v>63.701580447737214</c:v>
                </c:pt>
                <c:pt idx="113">
                  <c:v>63.675716836028855</c:v>
                </c:pt>
                <c:pt idx="114">
                  <c:v>63.648072719355369</c:v>
                </c:pt>
                <c:pt idx="115">
                  <c:v>63.618682468432809</c:v>
                </c:pt>
                <c:pt idx="116">
                  <c:v>63.587581012472441</c:v>
                </c:pt>
                <c:pt idx="117">
                  <c:v>63.554803668806471</c:v>
                </c:pt>
                <c:pt idx="118">
                  <c:v>63.520385994717941</c:v>
                </c:pt>
                <c:pt idx="119">
                  <c:v>63.484363658787515</c:v>
                </c:pt>
                <c:pt idx="120">
                  <c:v>63.446772329406471</c:v>
                </c:pt>
                <c:pt idx="121">
                  <c:v>63.40764757838943</c:v>
                </c:pt>
                <c:pt idx="122">
                  <c:v>63.367024797877349</c:v>
                </c:pt>
                <c:pt idx="123">
                  <c:v>63.32493912893797</c:v>
                </c:pt>
                <c:pt idx="124">
                  <c:v>63.281425400464272</c:v>
                </c:pt>
                <c:pt idx="125">
                  <c:v>63.236518077138484</c:v>
                </c:pt>
                <c:pt idx="126">
                  <c:v>63.190251215376605</c:v>
                </c:pt>
                <c:pt idx="127">
                  <c:v>63.14265842629608</c:v>
                </c:pt>
                <c:pt idx="128">
                  <c:v>63.093772844863352</c:v>
                </c:pt>
                <c:pt idx="129">
                  <c:v>63.04362710447576</c:v>
                </c:pt>
                <c:pt idx="130">
                  <c:v>62.992253316320017</c:v>
                </c:pt>
                <c:pt idx="131">
                  <c:v>62.939683052925318</c:v>
                </c:pt>
                <c:pt idx="132">
                  <c:v>62.885947335398271</c:v>
                </c:pt>
                <c:pt idx="133">
                  <c:v>62.831076623883718</c:v>
                </c:pt>
                <c:pt idx="134">
                  <c:v>62.775100810849992</c:v>
                </c:pt>
                <c:pt idx="135">
                  <c:v>62.71804921684226</c:v>
                </c:pt>
                <c:pt idx="136">
                  <c:v>62.659950588389123</c:v>
                </c:pt>
                <c:pt idx="137">
                  <c:v>62.600833097783379</c:v>
                </c:pt>
                <c:pt idx="138">
                  <c:v>62.540724344490172</c:v>
                </c:pt>
                <c:pt idx="139">
                  <c:v>62.479651357962823</c:v>
                </c:pt>
                <c:pt idx="140">
                  <c:v>62.417640601674421</c:v>
                </c:pt>
                <c:pt idx="141">
                  <c:v>62.354717978192028</c:v>
                </c:pt>
                <c:pt idx="142">
                  <c:v>62.290908835142758</c:v>
                </c:pt>
                <c:pt idx="143">
                  <c:v>62.226237971937238</c:v>
                </c:pt>
                <c:pt idx="144">
                  <c:v>62.160729647131546</c:v>
                </c:pt>
                <c:pt idx="145">
                  <c:v>62.094407586322987</c:v>
                </c:pt>
                <c:pt idx="146">
                  <c:v>62.027294990486524</c:v>
                </c:pt>
                <c:pt idx="147">
                  <c:v>61.959414544670494</c:v>
                </c:pt>
                <c:pt idx="148">
                  <c:v>61.890788426979313</c:v>
                </c:pt>
                <c:pt idx="149">
                  <c:v>61.82143831777941</c:v>
                </c:pt>
                <c:pt idx="150">
                  <c:v>61.751385409072526</c:v>
                </c:pt>
                <c:pt idx="151">
                  <c:v>61.680650413987692</c:v>
                </c:pt>
                <c:pt idx="152">
                  <c:v>61.609253576348237</c:v>
                </c:pt>
                <c:pt idx="153">
                  <c:v>61.537214680276065</c:v>
                </c:pt>
                <c:pt idx="154">
                  <c:v>61.464553059801389</c:v>
                </c:pt>
                <c:pt idx="155">
                  <c:v>61.391287608447797</c:v>
                </c:pt>
                <c:pt idx="156">
                  <c:v>61.317436788768461</c:v>
                </c:pt>
                <c:pt idx="157">
                  <c:v>61.243018641813023</c:v>
                </c:pt>
                <c:pt idx="158">
                  <c:v>61.168050796504431</c:v>
                </c:pt>
                <c:pt idx="159">
                  <c:v>61.092550478911747</c:v>
                </c:pt>
                <c:pt idx="160">
                  <c:v>61.016534521404935</c:v>
                </c:pt>
                <c:pt idx="161">
                  <c:v>60.940019371679909</c:v>
                </c:pt>
                <c:pt idx="162">
                  <c:v>60.863021101644549</c:v>
                </c:pt>
                <c:pt idx="163">
                  <c:v>60.785555416158061</c:v>
                </c:pt>
                <c:pt idx="164">
                  <c:v>60.707637661616516</c:v>
                </c:pt>
                <c:pt idx="165">
                  <c:v>60.629282834380703</c:v>
                </c:pt>
                <c:pt idx="166">
                  <c:v>60.550505589040739</c:v>
                </c:pt>
                <c:pt idx="167">
                  <c:v>60.471320246515631</c:v>
                </c:pt>
                <c:pt idx="168">
                  <c:v>60.391740801985378</c:v>
                </c:pt>
                <c:pt idx="169">
                  <c:v>60.311780932653733</c:v>
                </c:pt>
                <c:pt idx="170">
                  <c:v>60.231454005342428</c:v>
                </c:pt>
                <c:pt idx="171">
                  <c:v>60.150773083914316</c:v>
                </c:pt>
                <c:pt idx="172">
                  <c:v>60.069750936529061</c:v>
                </c:pt>
                <c:pt idx="173">
                  <c:v>59.98840004272931</c:v>
                </c:pt>
                <c:pt idx="174">
                  <c:v>59.906732600360783</c:v>
                </c:pt>
                <c:pt idx="175">
                  <c:v>59.824760532327161</c:v>
                </c:pt>
                <c:pt idx="176">
                  <c:v>59.742495493180883</c:v>
                </c:pt>
                <c:pt idx="177">
                  <c:v>59.659948875554093</c:v>
                </c:pt>
                <c:pt idx="178">
                  <c:v>59.577131816429628</c:v>
                </c:pt>
                <c:pt idx="179">
                  <c:v>59.494055203257147</c:v>
                </c:pt>
                <c:pt idx="180">
                  <c:v>59.410729679914567</c:v>
                </c:pt>
                <c:pt idx="181">
                  <c:v>59.327165652520165</c:v>
                </c:pt>
                <c:pt idx="182">
                  <c:v>59.243373295095807</c:v>
                </c:pt>
                <c:pt idx="183">
                  <c:v>59.159362555086673</c:v>
                </c:pt>
                <c:pt idx="184">
                  <c:v>59.07514315873857</c:v>
                </c:pt>
                <c:pt idx="185">
                  <c:v>58.990724616336919</c:v>
                </c:pt>
                <c:pt idx="186">
                  <c:v>58.906116227310775</c:v>
                </c:pt>
                <c:pt idx="187">
                  <c:v>58.821327085203677</c:v>
                </c:pt>
                <c:pt idx="188">
                  <c:v>58.736366082516383</c:v>
                </c:pt>
                <c:pt idx="189">
                  <c:v>58.651241915422887</c:v>
                </c:pt>
                <c:pt idx="190">
                  <c:v>58.565963088363361</c:v>
                </c:pt>
                <c:pt idx="191">
                  <c:v>58.480537918518081</c:v>
                </c:pt>
                <c:pt idx="192">
                  <c:v>58.394974540163545</c:v>
                </c:pt>
                <c:pt idx="193">
                  <c:v>58.309280908915326</c:v>
                </c:pt>
                <c:pt idx="194">
                  <c:v>58.223464805859692</c:v>
                </c:pt>
                <c:pt idx="195">
                  <c:v>58.137533841577792</c:v>
                </c:pt>
                <c:pt idx="196">
                  <c:v>58.051495460064203</c:v>
                </c:pt>
                <c:pt idx="197">
                  <c:v>57.96535694254338</c:v>
                </c:pt>
                <c:pt idx="198">
                  <c:v>57.879125411186649</c:v>
                </c:pt>
                <c:pt idx="199">
                  <c:v>57.792807832732379</c:v>
                </c:pt>
                <c:pt idx="200">
                  <c:v>57.706411022011892</c:v>
                </c:pt>
                <c:pt idx="201">
                  <c:v>57.619941645383733</c:v>
                </c:pt>
                <c:pt idx="202">
                  <c:v>57.533406224079059</c:v>
                </c:pt>
                <c:pt idx="203">
                  <c:v>57.446811137460273</c:v>
                </c:pt>
                <c:pt idx="204">
                  <c:v>57.360162626195589</c:v>
                </c:pt>
                <c:pt idx="205">
                  <c:v>57.273466795351794</c:v>
                </c:pt>
                <c:pt idx="206">
                  <c:v>57.186729617407266</c:v>
                </c:pt>
                <c:pt idx="207">
                  <c:v>57.099956935187933</c:v>
                </c:pt>
                <c:pt idx="208">
                  <c:v>57.013154464728103</c:v>
                </c:pt>
                <c:pt idx="209">
                  <c:v>56.926327798057969</c:v>
                </c:pt>
                <c:pt idx="210">
                  <c:v>56.839482405920577</c:v>
                </c:pt>
                <c:pt idx="211">
                  <c:v>56.752623640419756</c:v>
                </c:pt>
                <c:pt idx="212">
                  <c:v>56.665756737600759</c:v>
                </c:pt>
                <c:pt idx="213">
                  <c:v>56.578886819966257</c:v>
                </c:pt>
                <c:pt idx="214">
                  <c:v>56.492018898928606</c:v>
                </c:pt>
                <c:pt idx="215">
                  <c:v>56.405157877201432</c:v>
                </c:pt>
                <c:pt idx="216">
                  <c:v>56.318308551130343</c:v>
                </c:pt>
                <c:pt idx="217">
                  <c:v>56.231475612966705</c:v>
                </c:pt>
                <c:pt idx="218">
                  <c:v>56.14466365308445</c:v>
                </c:pt>
                <c:pt idx="219">
                  <c:v>56.057877162142304</c:v>
                </c:pt>
                <c:pt idx="220">
                  <c:v>55.971120533192533</c:v>
                </c:pt>
                <c:pt idx="221">
                  <c:v>55.884398063738161</c:v>
                </c:pt>
                <c:pt idx="222">
                  <c:v>55.797713957739987</c:v>
                </c:pt>
                <c:pt idx="223">
                  <c:v>55.711072327574499</c:v>
                </c:pt>
                <c:pt idx="224">
                  <c:v>55.624477195944209</c:v>
                </c:pt>
                <c:pt idx="225">
                  <c:v>55.537932497742219</c:v>
                </c:pt>
                <c:pt idx="226">
                  <c:v>54.676065762563084</c:v>
                </c:pt>
                <c:pt idx="227">
                  <c:v>53.822983593094477</c:v>
                </c:pt>
                <c:pt idx="228">
                  <c:v>52.981420529009497</c:v>
                </c:pt>
                <c:pt idx="229">
                  <c:v>52.153544757568625</c:v>
                </c:pt>
                <c:pt idx="230">
                  <c:v>51.341058145998858</c:v>
                </c:pt>
                <c:pt idx="231">
                  <c:v>50.545277022976023</c:v>
                </c:pt>
                <c:pt idx="232">
                  <c:v>49.767197979181049</c:v>
                </c:pt>
                <c:pt idx="233">
                  <c:v>49.007551884870622</c:v>
                </c:pt>
                <c:pt idx="234">
                  <c:v>48.266848541641735</c:v>
                </c:pt>
                <c:pt idx="235">
                  <c:v>47.545413813915872</c:v>
                </c:pt>
                <c:pt idx="236">
                  <c:v>46.843420664192649</c:v>
                </c:pt>
                <c:pt idx="237">
                  <c:v>46.160915202822366</c:v>
                </c:pt>
                <c:pt idx="238">
                  <c:v>45.497838628040796</c:v>
                </c:pt>
                <c:pt idx="239">
                  <c:v>44.854045754014521</c:v>
                </c:pt>
                <c:pt idx="240">
                  <c:v>44.229320688445256</c:v>
                </c:pt>
                <c:pt idx="241">
                  <c:v>43.623390115967766</c:v>
                </c:pt>
                <c:pt idx="242">
                  <c:v>43.035934561268533</c:v>
                </c:pt>
                <c:pt idx="243">
                  <c:v>42.466597940851017</c:v>
                </c:pt>
                <c:pt idx="244">
                  <c:v>41.914995660495492</c:v>
                </c:pt>
                <c:pt idx="245">
                  <c:v>41.380721473656934</c:v>
                </c:pt>
                <c:pt idx="246">
                  <c:v>40.863353282031937</c:v>
                </c:pt>
                <c:pt idx="247">
                  <c:v>40.362458031613642</c:v>
                </c:pt>
                <c:pt idx="248">
                  <c:v>39.877595834470583</c:v>
                </c:pt>
                <c:pt idx="249">
                  <c:v>39.408323427249996</c:v>
                </c:pt>
                <c:pt idx="250">
                  <c:v>38.954197061283139</c:v>
                </c:pt>
                <c:pt idx="251">
                  <c:v>38.514774905576786</c:v>
                </c:pt>
                <c:pt idx="252">
                  <c:v>38.089619032459922</c:v>
                </c:pt>
                <c:pt idx="253">
                  <c:v>37.678297045858812</c:v>
                </c:pt>
                <c:pt idx="254">
                  <c:v>37.280383403814511</c:v>
                </c:pt>
                <c:pt idx="255">
                  <c:v>36.895460479697277</c:v>
                </c:pt>
                <c:pt idx="256">
                  <c:v>36.523119400431654</c:v>
                </c:pt>
                <c:pt idx="257">
                  <c:v>36.162960694761324</c:v>
                </c:pt>
                <c:pt idx="258">
                  <c:v>35.814594780034753</c:v>
                </c:pt>
                <c:pt idx="259">
                  <c:v>35.477642312068326</c:v>
                </c:pt>
                <c:pt idx="260">
                  <c:v>35.151734419253444</c:v>
                </c:pt>
                <c:pt idx="261">
                  <c:v>34.836512839149691</c:v>
                </c:pt>
                <c:pt idx="262">
                  <c:v>34.531629973271208</c:v>
                </c:pt>
                <c:pt idx="263">
                  <c:v>34.236748873587032</c:v>
                </c:pt>
                <c:pt idx="264">
                  <c:v>33.95154317235847</c:v>
                </c:pt>
                <c:pt idx="265">
                  <c:v>33.675696965299437</c:v>
                </c:pt>
                <c:pt idx="266">
                  <c:v>33.408904656626049</c:v>
                </c:pt>
                <c:pt idx="267">
                  <c:v>33.150870773332315</c:v>
                </c:pt>
                <c:pt idx="268">
                  <c:v>32.901309754968594</c:v>
                </c:pt>
                <c:pt idx="269">
                  <c:v>32.659945724279964</c:v>
                </c:pt>
                <c:pt idx="270">
                  <c:v>32.426512243264938</c:v>
                </c:pt>
                <c:pt idx="271">
                  <c:v>32.200752058532515</c:v>
                </c:pt>
                <c:pt idx="272">
                  <c:v>31.982416839237402</c:v>
                </c:pt>
                <c:pt idx="273">
                  <c:v>31.771266910365</c:v>
                </c:pt>
                <c:pt idx="274">
                  <c:v>31.567070983694265</c:v>
                </c:pt>
                <c:pt idx="275">
                  <c:v>31.369605888385848</c:v>
                </c:pt>
                <c:pt idx="276">
                  <c:v>31.178656302816421</c:v>
                </c:pt>
                <c:pt idx="277">
                  <c:v>30.994014488996129</c:v>
                </c:pt>
                <c:pt idx="278">
                  <c:v>30.815480030666464</c:v>
                </c:pt>
                <c:pt idx="279">
                  <c:v>30.64285957596627</c:v>
                </c:pt>
                <c:pt idx="280">
                  <c:v>30.475966585376653</c:v>
                </c:pt>
                <c:pt idx="281">
                  <c:v>30.314621085504456</c:v>
                </c:pt>
                <c:pt idx="282">
                  <c:v>30.158649429132623</c:v>
                </c:pt>
                <c:pt idx="283">
                  <c:v>30.007884061857681</c:v>
                </c:pt>
                <c:pt idx="284">
                  <c:v>29.862163295539403</c:v>
                </c:pt>
                <c:pt idx="285">
                  <c:v>29.721331088710656</c:v>
                </c:pt>
                <c:pt idx="286">
                  <c:v>29.585236834027171</c:v>
                </c:pt>
                <c:pt idx="287">
                  <c:v>29.45373515278294</c:v>
                </c:pt>
                <c:pt idx="288">
                  <c:v>29.326685696469042</c:v>
                </c:pt>
                <c:pt idx="289">
                  <c:v>29.203952955317675</c:v>
                </c:pt>
                <c:pt idx="290">
                  <c:v>29.085406073738142</c:v>
                </c:pt>
                <c:pt idx="291">
                  <c:v>28.970918672530161</c:v>
                </c:pt>
                <c:pt idx="292">
                  <c:v>28.860368677735551</c:v>
                </c:pt>
                <c:pt idx="293">
                  <c:v>28.753638155975693</c:v>
                </c:pt>
                <c:pt idx="294">
                  <c:v>28.650613156108392</c:v>
                </c:pt>
                <c:pt idx="295">
                  <c:v>28.551183557028537</c:v>
                </c:pt>
                <c:pt idx="296">
                  <c:v>28.455242921430596</c:v>
                </c:pt>
                <c:pt idx="297">
                  <c:v>28.362688355346336</c:v>
                </c:pt>
                <c:pt idx="298">
                  <c:v>28.27342037326838</c:v>
                </c:pt>
                <c:pt idx="299">
                  <c:v>28.187342768669311</c:v>
                </c:pt>
                <c:pt idx="300">
                  <c:v>28.104362489726242</c:v>
                </c:pt>
                <c:pt idx="301">
                  <c:v>28.024389520063238</c:v>
                </c:pt>
                <c:pt idx="302">
                  <c:v>27.947336764324177</c:v>
                </c:pt>
                <c:pt idx="303">
                  <c:v>27.873119938394353</c:v>
                </c:pt>
                <c:pt idx="304">
                  <c:v>27.801657464090084</c:v>
                </c:pt>
                <c:pt idx="305">
                  <c:v>27.732870368142585</c:v>
                </c:pt>
                <c:pt idx="306">
                  <c:v>27.66668218530404</c:v>
                </c:pt>
                <c:pt idx="307">
                  <c:v>27.603018865410746</c:v>
                </c:pt>
                <c:pt idx="308">
                  <c:v>27.541808684242028</c:v>
                </c:pt>
                <c:pt idx="309">
                  <c:v>27.482982158019638</c:v>
                </c:pt>
                <c:pt idx="310">
                  <c:v>27.426471961395748</c:v>
                </c:pt>
                <c:pt idx="311">
                  <c:v>27.372212848785637</c:v>
                </c:pt>
                <c:pt idx="312">
                  <c:v>27.320141578904014</c:v>
                </c:pt>
                <c:pt idx="313">
                  <c:v>27.2701968423697</c:v>
                </c:pt>
                <c:pt idx="314">
                  <c:v>27.222319192249671</c:v>
                </c:pt>
                <c:pt idx="315">
                  <c:v>27.17645097741692</c:v>
                </c:pt>
                <c:pt idx="316">
                  <c:v>27.132536278602146</c:v>
                </c:pt>
                <c:pt idx="317">
                  <c:v>27.090520847025175</c:v>
                </c:pt>
                <c:pt idx="318">
                  <c:v>27.050352045494293</c:v>
                </c:pt>
                <c:pt idx="319">
                  <c:v>27.011978791868529</c:v>
                </c:pt>
                <c:pt idx="320">
                  <c:v>26.975351504781997</c:v>
                </c:pt>
                <c:pt idx="321">
                  <c:v>26.940422051531641</c:v>
                </c:pt>
                <c:pt idx="322">
                  <c:v>26.907143698036975</c:v>
                </c:pt>
                <c:pt idx="323">
                  <c:v>26.875471060781933</c:v>
                </c:pt>
                <c:pt idx="324">
                  <c:v>26.845360060654315</c:v>
                </c:pt>
                <c:pt idx="325">
                  <c:v>26.816767878600558</c:v>
                </c:pt>
                <c:pt idx="326">
                  <c:v>26.789652913019353</c:v>
                </c:pt>
                <c:pt idx="327">
                  <c:v>26.763974738818064</c:v>
                </c:pt>
                <c:pt idx="328">
                  <c:v>26.739694068061993</c:v>
                </c:pt>
                <c:pt idx="329">
                  <c:v>26.716772712148384</c:v>
                </c:pt>
                <c:pt idx="330">
                  <c:v>26.69517354543936</c:v>
                </c:pt>
                <c:pt idx="331">
                  <c:v>26.674860470292685</c:v>
                </c:pt>
                <c:pt idx="332">
                  <c:v>26.655798383430493</c:v>
                </c:pt>
                <c:pt idx="333">
                  <c:v>26.637953143589385</c:v>
                </c:pt>
                <c:pt idx="334">
                  <c:v>26.621291540397948</c:v>
                </c:pt>
                <c:pt idx="335">
                  <c:v>26.605781264429737</c:v>
                </c:pt>
                <c:pt idx="336">
                  <c:v>26.591390878382356</c:v>
                </c:pt>
                <c:pt idx="337">
                  <c:v>26.578089789335223</c:v>
                </c:pt>
                <c:pt idx="338">
                  <c:v>26.565848222041922</c:v>
                </c:pt>
                <c:pt idx="339">
                  <c:v>26.554637193212358</c:v>
                </c:pt>
                <c:pt idx="340">
                  <c:v>26.544428486745176</c:v>
                </c:pt>
                <c:pt idx="341">
                  <c:v>26.53519462986992</c:v>
                </c:pt>
                <c:pt idx="342">
                  <c:v>26.526908870162345</c:v>
                </c:pt>
                <c:pt idx="343">
                  <c:v>26.519545153396024</c:v>
                </c:pt>
                <c:pt idx="344">
                  <c:v>26.513078102196886</c:v>
                </c:pt>
                <c:pt idx="345">
                  <c:v>26.507482995466631</c:v>
                </c:pt>
                <c:pt idx="346">
                  <c:v>26.502735748545547</c:v>
                </c:pt>
                <c:pt idx="347">
                  <c:v>26.498812894082704</c:v>
                </c:pt>
                <c:pt idx="348">
                  <c:v>26.495691563586377</c:v>
                </c:pt>
                <c:pt idx="349">
                  <c:v>26.493349469626537</c:v>
                </c:pt>
                <c:pt idx="350">
                  <c:v>26.491764888663852</c:v>
                </c:pt>
                <c:pt idx="351">
                  <c:v>26.49091664447937</c:v>
                </c:pt>
                <c:pt idx="352">
                  <c:v>26.490784092181741</c:v>
                </c:pt>
                <c:pt idx="353">
                  <c:v>26.4913471027686</c:v>
                </c:pt>
                <c:pt idx="354">
                  <c:v>26.49258604822009</c:v>
                </c:pt>
                <c:pt idx="355">
                  <c:v>26.494481787104434</c:v>
                </c:pt>
                <c:pt idx="356">
                  <c:v>26.497015650674228</c:v>
                </c:pt>
                <c:pt idx="357">
                  <c:v>26.500169429435289</c:v>
                </c:pt>
                <c:pt idx="358">
                  <c:v>26.503925360169291</c:v>
                </c:pt>
                <c:pt idx="359">
                  <c:v>26.50826611339258</c:v>
                </c:pt>
                <c:pt idx="360">
                  <c:v>26.513174781234483</c:v>
                </c:pt>
                <c:pt idx="361">
                  <c:v>26.518634865719008</c:v>
                </c:pt>
                <c:pt idx="362">
                  <c:v>26.524630267434219</c:v>
                </c:pt>
                <c:pt idx="363">
                  <c:v>26.53114527457501</c:v>
                </c:pt>
                <c:pt idx="364">
                  <c:v>26.538164552344625</c:v>
                </c:pt>
                <c:pt idx="365">
                  <c:v>26.545673132701666</c:v>
                </c:pt>
                <c:pt idx="366">
                  <c:v>26.553656404439636</c:v>
                </c:pt>
                <c:pt idx="367">
                  <c:v>26.562100103586204</c:v>
                </c:pt>
                <c:pt idx="368">
                  <c:v>26.570990304111007</c:v>
                </c:pt>
                <c:pt idx="369">
                  <c:v>26.580313408929044</c:v>
                </c:pt>
                <c:pt idx="370">
                  <c:v>26.590056141191184</c:v>
                </c:pt>
                <c:pt idx="371">
                  <c:v>26.600205535848374</c:v>
                </c:pt>
                <c:pt idx="372">
                  <c:v>26.610748931481993</c:v>
                </c:pt>
                <c:pt idx="373">
                  <c:v>26.621673962388599</c:v>
                </c:pt>
                <c:pt idx="374">
                  <c:v>26.632968550911784</c:v>
                </c:pt>
                <c:pt idx="375">
                  <c:v>26.644620900010437</c:v>
                </c:pt>
                <c:pt idx="376">
                  <c:v>26.656619486056172</c:v>
                </c:pt>
                <c:pt idx="377">
                  <c:v>26.668953051850565</c:v>
                </c:pt>
                <c:pt idx="378">
                  <c:v>26.681610599856327</c:v>
                </c:pt>
                <c:pt idx="379">
                  <c:v>26.694581385631437</c:v>
                </c:pt>
                <c:pt idx="380">
                  <c:v>26.707854911463329</c:v>
                </c:pt>
                <c:pt idx="381">
                  <c:v>26.72142092019206</c:v>
                </c:pt>
                <c:pt idx="382">
                  <c:v>26.735269389218928</c:v>
                </c:pt>
                <c:pt idx="383">
                  <c:v>26.749390524691847</c:v>
                </c:pt>
                <c:pt idx="384">
                  <c:v>26.763774755863011</c:v>
                </c:pt>
                <c:pt idx="385">
                  <c:v>26.778412729611517</c:v>
                </c:pt>
                <c:pt idx="386">
                  <c:v>26.793295305126406</c:v>
                </c:pt>
                <c:pt idx="387">
                  <c:v>26.808413548743772</c:v>
                </c:pt>
                <c:pt idx="388">
                  <c:v>26.823758728933285</c:v>
                </c:pt>
                <c:pt idx="389">
                  <c:v>26.839322311428731</c:v>
                </c:pt>
                <c:pt idx="390">
                  <c:v>26.855095954497585</c:v>
                </c:pt>
                <c:pt idx="391">
                  <c:v>26.871071504345309</c:v>
                </c:pt>
                <c:pt idx="392">
                  <c:v>26.887240990649673</c:v>
                </c:pt>
                <c:pt idx="393">
                  <c:v>26.903596622220789</c:v>
                </c:pt>
                <c:pt idx="394">
                  <c:v>26.920130782782564</c:v>
                </c:pt>
                <c:pt idx="395">
                  <c:v>26.936836026871646</c:v>
                </c:pt>
                <c:pt idx="396">
                  <c:v>26.953705075850223</c:v>
                </c:pt>
                <c:pt idx="397">
                  <c:v>26.970730814028286</c:v>
                </c:pt>
                <c:pt idx="398">
                  <c:v>26.987906284893057</c:v>
                </c:pt>
                <c:pt idx="399">
                  <c:v>27.005224687440347</c:v>
                </c:pt>
                <c:pt idx="400">
                  <c:v>27.022679372606149</c:v>
                </c:pt>
                <c:pt idx="401">
                  <c:v>27.040263839794335</c:v>
                </c:pt>
                <c:pt idx="402">
                  <c:v>27.057971733497681</c:v>
                </c:pt>
                <c:pt idx="403">
                  <c:v>27.075796840009275</c:v>
                </c:pt>
                <c:pt idx="404">
                  <c:v>27.093733084221384</c:v>
                </c:pt>
                <c:pt idx="405">
                  <c:v>27.111774526508896</c:v>
                </c:pt>
                <c:pt idx="406">
                  <c:v>27.12991535969482</c:v>
                </c:pt>
                <c:pt idx="407">
                  <c:v>27.148149906095568</c:v>
                </c:pt>
                <c:pt idx="408">
                  <c:v>27.166472614642771</c:v>
                </c:pt>
                <c:pt idx="409">
                  <c:v>27.184878058079988</c:v>
                </c:pt>
                <c:pt idx="410">
                  <c:v>27.20336093023198</c:v>
                </c:pt>
                <c:pt idx="411">
                  <c:v>27.221916043343299</c:v>
                </c:pt>
                <c:pt idx="412">
                  <c:v>27.240538325485943</c:v>
                </c:pt>
                <c:pt idx="413">
                  <c:v>27.259222818031873</c:v>
                </c:pt>
                <c:pt idx="414">
                  <c:v>27.277964673190212</c:v>
                </c:pt>
                <c:pt idx="415">
                  <c:v>27.296759151605897</c:v>
                </c:pt>
                <c:pt idx="416">
                  <c:v>27.315601620018782</c:v>
                </c:pt>
                <c:pt idx="417">
                  <c:v>27.334487548981315</c:v>
                </c:pt>
                <c:pt idx="418">
                  <c:v>27.353412510631614</c:v>
                </c:pt>
                <c:pt idx="419">
                  <c:v>27.372372176523584</c:v>
                </c:pt>
                <c:pt idx="420">
                  <c:v>27.391362315508076</c:v>
                </c:pt>
                <c:pt idx="421">
                  <c:v>27.410378791667398</c:v>
                </c:pt>
                <c:pt idx="422">
                  <c:v>27.429417562299534</c:v>
                </c:pt>
                <c:pt idx="423">
                  <c:v>27.448474675951076</c:v>
                </c:pt>
                <c:pt idx="424">
                  <c:v>27.467546270497877</c:v>
                </c:pt>
                <c:pt idx="425">
                  <c:v>27.486628571271041</c:v>
                </c:pt>
                <c:pt idx="426">
                  <c:v>27.505717889228833</c:v>
                </c:pt>
                <c:pt idx="427">
                  <c:v>27.524810619170751</c:v>
                </c:pt>
                <c:pt idx="428">
                  <c:v>27.543903237994641</c:v>
                </c:pt>
                <c:pt idx="429">
                  <c:v>27.562992302994559</c:v>
                </c:pt>
                <c:pt idx="430">
                  <c:v>27.582074450198718</c:v>
                </c:pt>
                <c:pt idx="431">
                  <c:v>27.601146392745761</c:v>
                </c:pt>
                <c:pt idx="432">
                  <c:v>27.620204919299084</c:v>
                </c:pt>
                <c:pt idx="433">
                  <c:v>27.639246892497994</c:v>
                </c:pt>
                <c:pt idx="434">
                  <c:v>27.658269247444082</c:v>
                </c:pt>
                <c:pt idx="435">
                  <c:v>27.677268990222217</c:v>
                </c:pt>
                <c:pt idx="436">
                  <c:v>27.696243196455981</c:v>
                </c:pt>
                <c:pt idx="437">
                  <c:v>27.715189009895113</c:v>
                </c:pt>
                <c:pt idx="438">
                  <c:v>27.734103641035091</c:v>
                </c:pt>
                <c:pt idx="439">
                  <c:v>27.752984365768214</c:v>
                </c:pt>
                <c:pt idx="440">
                  <c:v>27.771828524064546</c:v>
                </c:pt>
                <c:pt idx="441">
                  <c:v>27.790633518682142</c:v>
                </c:pt>
                <c:pt idx="442">
                  <c:v>27.809396813906204</c:v>
                </c:pt>
                <c:pt idx="443">
                  <c:v>27.828115934316202</c:v>
                </c:pt>
                <c:pt idx="444">
                  <c:v>27.846788463580054</c:v>
                </c:pt>
                <c:pt idx="445">
                  <c:v>27.865412043274603</c:v>
                </c:pt>
                <c:pt idx="446">
                  <c:v>27.883984371731998</c:v>
                </c:pt>
                <c:pt idx="447">
                  <c:v>27.902503202911589</c:v>
                </c:pt>
                <c:pt idx="448">
                  <c:v>27.920966345295312</c:v>
                </c:pt>
                <c:pt idx="449">
                  <c:v>27.939371660808064</c:v>
                </c:pt>
                <c:pt idx="450">
                  <c:v>27.957717063760214</c:v>
                </c:pt>
                <c:pt idx="451">
                  <c:v>27.976000519813937</c:v>
                </c:pt>
                <c:pt idx="452">
                  <c:v>27.994220044970234</c:v>
                </c:pt>
                <c:pt idx="453">
                  <c:v>28.012373704578721</c:v>
                </c:pt>
                <c:pt idx="454">
                  <c:v>28.030459612367792</c:v>
                </c:pt>
                <c:pt idx="455">
                  <c:v>28.048475929494913</c:v>
                </c:pt>
                <c:pt idx="456">
                  <c:v>28.066420863617878</c:v>
                </c:pt>
                <c:pt idx="457">
                  <c:v>28.084292667984499</c:v>
                </c:pt>
                <c:pt idx="458">
                  <c:v>28.10208964054155</c:v>
                </c:pt>
                <c:pt idx="459">
                  <c:v>28.119810123062791</c:v>
                </c:pt>
                <c:pt idx="460">
                  <c:v>28.137452500294188</c:v>
                </c:pt>
                <c:pt idx="461">
                  <c:v>28.155015199117656</c:v>
                </c:pt>
                <c:pt idx="462">
                  <c:v>28.17249668773087</c:v>
                </c:pt>
                <c:pt idx="463">
                  <c:v>28.189895474845144</c:v>
                </c:pt>
                <c:pt idx="464">
                  <c:v>28.207210108898664</c:v>
                </c:pt>
                <c:pt idx="465">
                  <c:v>28.224439177286342</c:v>
                </c:pt>
                <c:pt idx="466">
                  <c:v>28.241581305604853</c:v>
                </c:pt>
                <c:pt idx="467">
                  <c:v>28.258635156913471</c:v>
                </c:pt>
                <c:pt idx="468">
                  <c:v>28.275599431009226</c:v>
                </c:pt>
                <c:pt idx="469">
                  <c:v>28.292472863716739</c:v>
                </c:pt>
                <c:pt idx="470">
                  <c:v>28.309254226192536</c:v>
                </c:pt>
                <c:pt idx="471">
                  <c:v>28.3259423242433</c:v>
                </c:pt>
                <c:pt idx="472">
                  <c:v>28.342535997656768</c:v>
                </c:pt>
                <c:pt idx="473">
                  <c:v>28.359034119547232</c:v>
                </c:pt>
                <c:pt idx="474">
                  <c:v>28.375435595713014</c:v>
                </c:pt>
                <c:pt idx="475">
                  <c:v>28.39173936400681</c:v>
                </c:pt>
                <c:pt idx="476">
                  <c:v>28.407944393718537</c:v>
                </c:pt>
                <c:pt idx="477">
                  <c:v>28.424049684970356</c:v>
                </c:pt>
                <c:pt idx="478">
                  <c:v>28.440054268122964</c:v>
                </c:pt>
                <c:pt idx="479">
                  <c:v>28.455957203194231</c:v>
                </c:pt>
                <c:pt idx="480">
                  <c:v>28.471757579288266</c:v>
                </c:pt>
                <c:pt idx="481">
                  <c:v>28.487454514036472</c:v>
                </c:pt>
                <c:pt idx="482">
                  <c:v>28.503047153048328</c:v>
                </c:pt>
                <c:pt idx="483">
                  <c:v>28.518534669373764</c:v>
                </c:pt>
                <c:pt idx="484">
                  <c:v>28.533916262974998</c:v>
                </c:pt>
                <c:pt idx="485">
                  <c:v>28.549191160209261</c:v>
                </c:pt>
                <c:pt idx="486">
                  <c:v>28.564358613320564</c:v>
                </c:pt>
                <c:pt idx="487">
                  <c:v>28.579417899942058</c:v>
                </c:pt>
                <c:pt idx="488">
                  <c:v>28.594368322606897</c:v>
                </c:pt>
                <c:pt idx="489">
                  <c:v>28.609209208269135</c:v>
                </c:pt>
                <c:pt idx="490">
                  <c:v>28.623939907833289</c:v>
                </c:pt>
                <c:pt idx="491">
                  <c:v>28.6385597956928</c:v>
                </c:pt>
                <c:pt idx="492">
                  <c:v>28.653068269277497</c:v>
                </c:pt>
                <c:pt idx="493">
                  <c:v>28.667464748608808</c:v>
                </c:pt>
                <c:pt idx="494">
                  <c:v>28.681748675864355</c:v>
                </c:pt>
                <c:pt idx="495">
                  <c:v>28.695919514949594</c:v>
                </c:pt>
                <c:pt idx="496">
                  <c:v>28.709976751078273</c:v>
                </c:pt>
                <c:pt idx="497">
                  <c:v>28.723919890360207</c:v>
                </c:pt>
                <c:pt idx="498">
                  <c:v>28.73774845939684</c:v>
                </c:pt>
                <c:pt idx="499">
                  <c:v>28.75146200488453</c:v>
                </c:pt>
                <c:pt idx="500">
                  <c:v>28.765060093224548</c:v>
                </c:pt>
                <c:pt idx="501">
                  <c:v>28.778542310141177</c:v>
                </c:pt>
                <c:pt idx="502">
                  <c:v>28.791908260305831</c:v>
                </c:pt>
                <c:pt idx="503">
                  <c:v>28.805157566968774</c:v>
                </c:pt>
                <c:pt idx="504">
                  <c:v>28.818289871597528</c:v>
                </c:pt>
                <c:pt idx="505">
                  <c:v>28.831304833521529</c:v>
                </c:pt>
                <c:pt idx="506">
                  <c:v>28.844202129583522</c:v>
                </c:pt>
                <c:pt idx="507">
                  <c:v>28.856981453797488</c:v>
                </c:pt>
                <c:pt idx="508">
                  <c:v>28.869642517012238</c:v>
                </c:pt>
                <c:pt idx="509">
                  <c:v>28.882185046581839</c:v>
                </c:pt>
                <c:pt idx="510">
                  <c:v>28.894608786041147</c:v>
                </c:pt>
                <c:pt idx="511">
                  <c:v>28.906913494788427</c:v>
                </c:pt>
                <c:pt idx="512">
                  <c:v>28.919098947772227</c:v>
                </c:pt>
                <c:pt idx="513">
                  <c:v>28.931164935185194</c:v>
                </c:pt>
                <c:pt idx="514">
                  <c:v>28.943111262162603</c:v>
                </c:pt>
                <c:pt idx="515">
                  <c:v>28.954937748486657</c:v>
                </c:pt>
                <c:pt idx="516">
                  <c:v>28.966644228295962</c:v>
                </c:pt>
                <c:pt idx="517">
                  <c:v>28.978230549800458</c:v>
                </c:pt>
                <c:pt idx="518">
                  <c:v>28.989696575000892</c:v>
                </c:pt>
                <c:pt idx="519">
                  <c:v>29.001042179414156</c:v>
                </c:pt>
                <c:pt idx="520">
                  <c:v>29.012267251802598</c:v>
                </c:pt>
                <c:pt idx="521">
                  <c:v>29.023371693908842</c:v>
                </c:pt>
                <c:pt idx="522">
                  <c:v>29.034355420195141</c:v>
                </c:pt>
                <c:pt idx="523">
                  <c:v>29.045218357587174</c:v>
                </c:pt>
                <c:pt idx="524">
                  <c:v>29.055960445222809</c:v>
                </c:pt>
                <c:pt idx="525">
                  <c:v>29.06658163420451</c:v>
                </c:pt>
                <c:pt idx="526">
                  <c:v>29.07708188735748</c:v>
                </c:pt>
                <c:pt idx="527">
                  <c:v>29.087461178990566</c:v>
                </c:pt>
                <c:pt idx="528">
                  <c:v>29.097719494662613</c:v>
                </c:pt>
                <c:pt idx="529">
                  <c:v>29.107856830952102</c:v>
                </c:pt>
                <c:pt idx="530">
                  <c:v>29.117873195231596</c:v>
                </c:pt>
                <c:pt idx="531">
                  <c:v>29.127768605445368</c:v>
                </c:pt>
                <c:pt idx="532">
                  <c:v>29.137543089891608</c:v>
                </c:pt>
                <c:pt idx="533">
                  <c:v>29.147196687008062</c:v>
                </c:pt>
                <c:pt idx="534">
                  <c:v>29.156729445161773</c:v>
                </c:pt>
                <c:pt idx="535">
                  <c:v>29.166141422442166</c:v>
                </c:pt>
                <c:pt idx="536">
                  <c:v>29.175432686458009</c:v>
                </c:pt>
                <c:pt idx="537">
                  <c:v>29.184603314137689</c:v>
                </c:pt>
                <c:pt idx="538">
                  <c:v>29.193653391533559</c:v>
                </c:pt>
                <c:pt idx="539">
                  <c:v>29.202583013628924</c:v>
                </c:pt>
                <c:pt idx="540">
                  <c:v>29.211392284148872</c:v>
                </c:pt>
                <c:pt idx="541">
                  <c:v>29.220081315374472</c:v>
                </c:pt>
                <c:pt idx="542">
                  <c:v>29.228650227960145</c:v>
                </c:pt>
                <c:pt idx="543">
                  <c:v>29.237099150753892</c:v>
                </c:pt>
                <c:pt idx="544">
                  <c:v>29.245428220620994</c:v>
                </c:pt>
                <c:pt idx="545">
                  <c:v>29.253637582271182</c:v>
                </c:pt>
                <c:pt idx="546">
                  <c:v>29.261727388087763</c:v>
                </c:pt>
                <c:pt idx="547">
                  <c:v>29.269697797960703</c:v>
                </c:pt>
                <c:pt idx="548">
                  <c:v>29.277548979122201</c:v>
                </c:pt>
                <c:pt idx="549">
                  <c:v>29.285281105985149</c:v>
                </c:pt>
                <c:pt idx="550">
                  <c:v>29.292894359984501</c:v>
                </c:pt>
                <c:pt idx="551">
                  <c:v>29.300388929421359</c:v>
                </c:pt>
                <c:pt idx="552">
                  <c:v>29.307765009309549</c:v>
                </c:pt>
                <c:pt idx="553">
                  <c:v>29.315022801225382</c:v>
                </c:pt>
                <c:pt idx="554">
                  <c:v>29.32216251315981</c:v>
                </c:pt>
                <c:pt idx="555">
                  <c:v>29.329184359372618</c:v>
                </c:pt>
                <c:pt idx="556">
                  <c:v>29.336088560250005</c:v>
                </c:pt>
                <c:pt idx="557">
                  <c:v>29.342875342164291</c:v>
                </c:pt>
                <c:pt idx="558">
                  <c:v>29.349544937335509</c:v>
                </c:pt>
                <c:pt idx="559">
                  <c:v>29.356097583696737</c:v>
                </c:pt>
                <c:pt idx="560">
                  <c:v>29.362533524760323</c:v>
                </c:pt>
                <c:pt idx="561">
                  <c:v>29.368853009487253</c:v>
                </c:pt>
                <c:pt idx="562">
                  <c:v>29.375056292158831</c:v>
                </c:pt>
                <c:pt idx="563">
                  <c:v>29.38114363225003</c:v>
                </c:pt>
                <c:pt idx="564">
                  <c:v>29.38711529430563</c:v>
                </c:pt>
                <c:pt idx="565">
                  <c:v>29.392971547818235</c:v>
                </c:pt>
                <c:pt idx="566">
                  <c:v>29.398712667108526</c:v>
                </c:pt>
                <c:pt idx="567">
                  <c:v>29.404338931207178</c:v>
                </c:pt>
                <c:pt idx="568">
                  <c:v>29.409850623739686</c:v>
                </c:pt>
                <c:pt idx="569">
                  <c:v>29.415248032812542</c:v>
                </c:pt>
                <c:pt idx="570">
                  <c:v>29.420531450901223</c:v>
                </c:pt>
                <c:pt idx="571">
                  <c:v>29.425701174740965</c:v>
                </c:pt>
                <c:pt idx="572">
                  <c:v>29.43075750521848</c:v>
                </c:pt>
                <c:pt idx="573">
                  <c:v>29.435700747266367</c:v>
                </c:pt>
                <c:pt idx="574">
                  <c:v>29.44053120975903</c:v>
                </c:pt>
                <c:pt idx="575">
                  <c:v>29.44524920540988</c:v>
                </c:pt>
                <c:pt idx="576">
                  <c:v>29.449855050671744</c:v>
                </c:pt>
                <c:pt idx="577">
                  <c:v>29.454349065637217</c:v>
                </c:pt>
                <c:pt idx="578">
                  <c:v>29.458731573942401</c:v>
                </c:pt>
                <c:pt idx="579">
                  <c:v>29.463002902671178</c:v>
                </c:pt>
                <c:pt idx="580">
                  <c:v>29.467163382261646</c:v>
                </c:pt>
                <c:pt idx="581">
                  <c:v>29.471213346414231</c:v>
                </c:pt>
                <c:pt idx="582">
                  <c:v>29.475153132001282</c:v>
                </c:pt>
                <c:pt idx="583">
                  <c:v>29.478983078978246</c:v>
                </c:pt>
                <c:pt idx="584">
                  <c:v>29.482703530296533</c:v>
                </c:pt>
                <c:pt idx="585">
                  <c:v>29.486314831817765</c:v>
                </c:pt>
                <c:pt idx="586">
                  <c:v>29.489817332229364</c:v>
                </c:pt>
                <c:pt idx="587">
                  <c:v>29.493211382962329</c:v>
                </c:pt>
                <c:pt idx="588">
                  <c:v>29.496497338109549</c:v>
                </c:pt>
                <c:pt idx="589">
                  <c:v>29.499675554346311</c:v>
                </c:pt>
                <c:pt idx="590">
                  <c:v>29.502746390851598</c:v>
                </c:pt>
                <c:pt idx="591">
                  <c:v>29.505710209231438</c:v>
                </c:pt>
                <c:pt idx="592">
                  <c:v>29.508567373442844</c:v>
                </c:pt>
                <c:pt idx="593">
                  <c:v>29.511318249719892</c:v>
                </c:pt>
                <c:pt idx="594">
                  <c:v>29.513963206500392</c:v>
                </c:pt>
                <c:pt idx="595">
                  <c:v>29.516502614354408</c:v>
                </c:pt>
                <c:pt idx="596">
                  <c:v>29.518936845913885</c:v>
                </c:pt>
                <c:pt idx="597">
                  <c:v>29.521266275803185</c:v>
                </c:pt>
                <c:pt idx="598">
                  <c:v>29.523491280571477</c:v>
                </c:pt>
                <c:pt idx="599">
                  <c:v>29.525612238625939</c:v>
                </c:pt>
                <c:pt idx="600">
                  <c:v>29.527629530165967</c:v>
                </c:pt>
                <c:pt idx="601">
                  <c:v>29.529543537119224</c:v>
                </c:pt>
                <c:pt idx="602">
                  <c:v>29.531354643078146</c:v>
                </c:pt>
                <c:pt idx="603">
                  <c:v>29.533063233238124</c:v>
                </c:pt>
                <c:pt idx="604">
                  <c:v>29.534669694336202</c:v>
                </c:pt>
                <c:pt idx="605">
                  <c:v>29.536174414591557</c:v>
                </c:pt>
                <c:pt idx="606">
                  <c:v>29.490543211424125</c:v>
                </c:pt>
                <c:pt idx="607">
                  <c:v>29.241964211792464</c:v>
                </c:pt>
                <c:pt idx="608">
                  <c:v>28.83834307846044</c:v>
                </c:pt>
                <c:pt idx="609">
                  <c:v>28.321120888978356</c:v>
                </c:pt>
                <c:pt idx="610">
                  <c:v>27.724240131505667</c:v>
                </c:pt>
                <c:pt idx="611">
                  <c:v>27.074610398903616</c:v>
                </c:pt>
                <c:pt idx="612">
                  <c:v>26.393096262977821</c:v>
                </c:pt>
                <c:pt idx="613">
                  <c:v>25.695596485999403</c:v>
                </c:pt>
                <c:pt idx="614">
                  <c:v>24.994037965469715</c:v>
                </c:pt>
                <c:pt idx="615">
                  <c:v>24.297224895004661</c:v>
                </c:pt>
                <c:pt idx="616">
                  <c:v>23.61153570064468</c:v>
                </c:pt>
                <c:pt idx="617">
                  <c:v>22.941481597890743</c:v>
                </c:pt>
                <c:pt idx="618">
                  <c:v>22.678568350976747</c:v>
                </c:pt>
                <c:pt idx="619">
                  <c:v>22.418807371825238</c:v>
                </c:pt>
                <c:pt idx="620">
                  <c:v>22.162319226974518</c:v>
                </c:pt>
                <c:pt idx="621">
                  <c:v>21.909202634367517</c:v>
                </c:pt>
                <c:pt idx="622">
                  <c:v>21.659536844551383</c:v>
                </c:pt>
                <c:pt idx="623">
                  <c:v>21.413383786434849</c:v>
                </c:pt>
                <c:pt idx="624">
                  <c:v>21.170789999633058</c:v>
                </c:pt>
                <c:pt idx="625">
                  <c:v>20.931788373576325</c:v>
                </c:pt>
                <c:pt idx="626">
                  <c:v>20.696399711811523</c:v>
                </c:pt>
                <c:pt idx="627">
                  <c:v>20.464634138292524</c:v>
                </c:pt>
                <c:pt idx="628">
                  <c:v>20.236492360939707</c:v>
                </c:pt>
                <c:pt idx="629">
                  <c:v>20.011966806347402</c:v>
                </c:pt>
                <c:pt idx="630">
                  <c:v>19.791042638227282</c:v>
                </c:pt>
                <c:pt idx="631">
                  <c:v>19.573698670995469</c:v>
                </c:pt>
                <c:pt idx="632">
                  <c:v>19.359908188826466</c:v>
                </c:pt>
                <c:pt idx="633">
                  <c:v>19.149639679513257</c:v>
                </c:pt>
                <c:pt idx="634">
                  <c:v>18.942857491572028</c:v>
                </c:pt>
                <c:pt idx="635">
                  <c:v>18.739522422216027</c:v>
                </c:pt>
                <c:pt idx="636">
                  <c:v>18.539592243079568</c:v>
                </c:pt>
                <c:pt idx="637">
                  <c:v>18.343022169904799</c:v>
                </c:pt>
                <c:pt idx="638">
                  <c:v>18.14976528179227</c:v>
                </c:pt>
                <c:pt idx="639">
                  <c:v>17.959772895069904</c:v>
                </c:pt>
                <c:pt idx="640">
                  <c:v>17.772994896334808</c:v>
                </c:pt>
                <c:pt idx="641">
                  <c:v>17.58938003877563</c:v>
                </c:pt>
                <c:pt idx="642">
                  <c:v>17.40887620547602</c:v>
                </c:pt>
                <c:pt idx="643">
                  <c:v>17.231430643035054</c:v>
                </c:pt>
                <c:pt idx="644">
                  <c:v>17.056990168509373</c:v>
                </c:pt>
                <c:pt idx="645">
                  <c:v>16.885501352385347</c:v>
                </c:pt>
                <c:pt idx="646">
                  <c:v>16.716910680019907</c:v>
                </c:pt>
                <c:pt idx="647">
                  <c:v>16.551164693747893</c:v>
                </c:pt>
                <c:pt idx="648">
                  <c:v>16.388210117635168</c:v>
                </c:pt>
                <c:pt idx="649">
                  <c:v>16.227993966660506</c:v>
                </c:pt>
                <c:pt idx="650">
                  <c:v>16.070463641931383</c:v>
                </c:pt>
                <c:pt idx="651">
                  <c:v>15.915567013381605</c:v>
                </c:pt>
                <c:pt idx="652">
                  <c:v>15.763252491251905</c:v>
                </c:pt>
                <c:pt idx="653">
                  <c:v>15.613469087527335</c:v>
                </c:pt>
                <c:pt idx="654">
                  <c:v>15.466166468387939</c:v>
                </c:pt>
                <c:pt idx="655">
                  <c:v>15.321294998624097</c:v>
                </c:pt>
                <c:pt idx="656">
                  <c:v>15.178805778872828</c:v>
                </c:pt>
                <c:pt idx="657">
                  <c:v>15.03865067644648</c:v>
                </c:pt>
                <c:pt idx="658">
                  <c:v>14.900782350448566</c:v>
                </c:pt>
                <c:pt idx="659">
                  <c:v>14.765154271800697</c:v>
                </c:pt>
                <c:pt idx="660">
                  <c:v>14.631720738744662</c:v>
                </c:pt>
                <c:pt idx="661">
                  <c:v>14.50043688832389</c:v>
                </c:pt>
                <c:pt idx="662">
                  <c:v>14.371258704301539</c:v>
                </c:pt>
                <c:pt idx="663">
                  <c:v>14.244143021923747</c:v>
                </c:pt>
                <c:pt idx="664">
                  <c:v>14.119047529896562</c:v>
                </c:pt>
                <c:pt idx="665">
                  <c:v>13.995930769908227</c:v>
                </c:pt>
                <c:pt idx="666">
                  <c:v>13.874752133993809</c:v>
                </c:pt>
                <c:pt idx="667">
                  <c:v>13.755471860009465</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116.48479779012138</c:v>
                </c:pt>
                <c:pt idx="1">
                  <c:v>104.00347442381107</c:v>
                </c:pt>
                <c:pt idx="2">
                  <c:v>99.456293882449287</c:v>
                </c:pt>
                <c:pt idx="3">
                  <c:v>97.138028949925626</c:v>
                </c:pt>
                <c:pt idx="4">
                  <c:v>95.739251572140645</c:v>
                </c:pt>
                <c:pt idx="5">
                  <c:v>94.80617937394922</c:v>
                </c:pt>
                <c:pt idx="6">
                  <c:v>94.14100340682657</c:v>
                </c:pt>
                <c:pt idx="7">
                  <c:v>93.643918283375129</c:v>
                </c:pt>
                <c:pt idx="8">
                  <c:v>93.259173560900692</c:v>
                </c:pt>
                <c:pt idx="9">
                  <c:v>92.953200198415104</c:v>
                </c:pt>
                <c:pt idx="10">
                  <c:v>91.630581011918011</c:v>
                </c:pt>
                <c:pt idx="11">
                  <c:v>91.257270900658341</c:v>
                </c:pt>
                <c:pt idx="12">
                  <c:v>91.12159334927604</c:v>
                </c:pt>
                <c:pt idx="13">
                  <c:v>91.080997780399713</c:v>
                </c:pt>
                <c:pt idx="14">
                  <c:v>91.087948040647319</c:v>
                </c:pt>
                <c:pt idx="15">
                  <c:v>91.122067723072647</c:v>
                </c:pt>
                <c:pt idx="16">
                  <c:v>91.17316746213848</c:v>
                </c:pt>
                <c:pt idx="17">
                  <c:v>91.235585983915399</c:v>
                </c:pt>
                <c:pt idx="18">
                  <c:v>91.305926218588738</c:v>
                </c:pt>
                <c:pt idx="19">
                  <c:v>92.183371814646975</c:v>
                </c:pt>
                <c:pt idx="20">
                  <c:v>93.155009194258426</c:v>
                </c:pt>
                <c:pt idx="21">
                  <c:v>94.149042616087158</c:v>
                </c:pt>
                <c:pt idx="22">
                  <c:v>95.150745971164341</c:v>
                </c:pt>
                <c:pt idx="23">
                  <c:v>96.154906537338192</c:v>
                </c:pt>
                <c:pt idx="24">
                  <c:v>97.159031484598287</c:v>
                </c:pt>
                <c:pt idx="25">
                  <c:v>98.161649813183359</c:v>
                </c:pt>
                <c:pt idx="26">
                  <c:v>99.161746604684154</c:v>
                </c:pt>
                <c:pt idx="27">
                  <c:v>100.1585369553692</c:v>
                </c:pt>
                <c:pt idx="28">
                  <c:v>105.07205602652317</c:v>
                </c:pt>
                <c:pt idx="29">
                  <c:v>109.82371416143832</c:v>
                </c:pt>
                <c:pt idx="30">
                  <c:v>114.36083015914225</c:v>
                </c:pt>
                <c:pt idx="31">
                  <c:v>118.63653487802591</c:v>
                </c:pt>
                <c:pt idx="32">
                  <c:v>122.60832381343336</c:v>
                </c:pt>
                <c:pt idx="33">
                  <c:v>126.23712747721441</c:v>
                </c:pt>
                <c:pt idx="34">
                  <c:v>129.48614841069838</c:v>
                </c:pt>
                <c:pt idx="35">
                  <c:v>132.31936950687245</c:v>
                </c:pt>
                <c:pt idx="36">
                  <c:v>134.69976422966607</c:v>
                </c:pt>
                <c:pt idx="37">
                  <c:v>136.58728054399811</c:v>
                </c:pt>
                <c:pt idx="38">
                  <c:v>137.93671497511218</c:v>
                </c:pt>
                <c:pt idx="39">
                  <c:v>138.69568943710942</c:v>
                </c:pt>
                <c:pt idx="40">
                  <c:v>138.80314756125955</c:v>
                </c:pt>
                <c:pt idx="41">
                  <c:v>138.18917383825223</c:v>
                </c:pt>
                <c:pt idx="42">
                  <c:v>136.77758068454241</c:v>
                </c:pt>
                <c:pt idx="43">
                  <c:v>134.49357459347459</c:v>
                </c:pt>
                <c:pt idx="44">
                  <c:v>131.27948688116751</c:v>
                </c:pt>
                <c:pt idx="45">
                  <c:v>127.12074483620825</c:v>
                </c:pt>
                <c:pt idx="46">
                  <c:v>122.07962791164033</c:v>
                </c:pt>
                <c:pt idx="47">
                  <c:v>116.32451286524075</c:v>
                </c:pt>
                <c:pt idx="48">
                  <c:v>110.13249100945977</c:v>
                </c:pt>
                <c:pt idx="49">
                  <c:v>103.84796706545534</c:v>
                </c:pt>
                <c:pt idx="50">
                  <c:v>97.807178942461618</c:v>
                </c:pt>
                <c:pt idx="51">
                  <c:v>92.266825756779212</c:v>
                </c:pt>
                <c:pt idx="52">
                  <c:v>87.371365071873896</c:v>
                </c:pt>
                <c:pt idx="53">
                  <c:v>83.162574323004009</c:v>
                </c:pt>
                <c:pt idx="54">
                  <c:v>79.61128528395092</c:v>
                </c:pt>
                <c:pt idx="55">
                  <c:v>76.650443803096096</c:v>
                </c:pt>
                <c:pt idx="56">
                  <c:v>74.199373422967554</c:v>
                </c:pt>
                <c:pt idx="57">
                  <c:v>72.178080463484193</c:v>
                </c:pt>
                <c:pt idx="58">
                  <c:v>70.514152604992447</c:v>
                </c:pt>
                <c:pt idx="59">
                  <c:v>69.145175130377737</c:v>
                </c:pt>
                <c:pt idx="60">
                  <c:v>68.018808781325063</c:v>
                </c:pt>
                <c:pt idx="61">
                  <c:v>67.091827544960069</c:v>
                </c:pt>
                <c:pt idx="62">
                  <c:v>66.32881319630863</c:v>
                </c:pt>
                <c:pt idx="63">
                  <c:v>65.700842954976252</c:v>
                </c:pt>
                <c:pt idx="64">
                  <c:v>65.184311276838116</c:v>
                </c:pt>
                <c:pt idx="65">
                  <c:v>64.759928948136078</c:v>
                </c:pt>
                <c:pt idx="66">
                  <c:v>64.411897691370555</c:v>
                </c:pt>
                <c:pt idx="67">
                  <c:v>64.12724053368629</c:v>
                </c:pt>
                <c:pt idx="68">
                  <c:v>63.895263214119524</c:v>
                </c:pt>
                <c:pt idx="69">
                  <c:v>63.70712269175867</c:v>
                </c:pt>
                <c:pt idx="70">
                  <c:v>63.555481797393369</c:v>
                </c:pt>
                <c:pt idx="71">
                  <c:v>63.434232577147341</c:v>
                </c:pt>
                <c:pt idx="72">
                  <c:v>63.338274188816555</c:v>
                </c:pt>
                <c:pt idx="73">
                  <c:v>63.263334070404909</c:v>
                </c:pt>
                <c:pt idx="74">
                  <c:v>63.205823456703769</c:v>
                </c:pt>
                <c:pt idx="75">
                  <c:v>63.162720212908724</c:v>
                </c:pt>
                <c:pt idx="76">
                  <c:v>63.131473453218817</c:v>
                </c:pt>
                <c:pt idx="77">
                  <c:v>63.109925589592294</c:v>
                </c:pt>
                <c:pt idx="78">
                  <c:v>63.096248376643871</c:v>
                </c:pt>
                <c:pt idx="79">
                  <c:v>63.088890237877806</c:v>
                </c:pt>
                <c:pt idx="80">
                  <c:v>63.086532720394246</c:v>
                </c:pt>
                <c:pt idx="81">
                  <c:v>63.088054364938273</c:v>
                </c:pt>
                <c:pt idx="82">
                  <c:v>63.092500623076987</c:v>
                </c:pt>
                <c:pt idx="83">
                  <c:v>63.099058724615247</c:v>
                </c:pt>
                <c:pt idx="84">
                  <c:v>63.107036612500877</c:v>
                </c:pt>
                <c:pt idx="85">
                  <c:v>63.115845232069432</c:v>
                </c:pt>
                <c:pt idx="86">
                  <c:v>63.124983596297852</c:v>
                </c:pt>
                <c:pt idx="87">
                  <c:v>63.134026156304046</c:v>
                </c:pt>
                <c:pt idx="88">
                  <c:v>63.142612092481642</c:v>
                </c:pt>
                <c:pt idx="89">
                  <c:v>63.150436210916368</c:v>
                </c:pt>
                <c:pt idx="90">
                  <c:v>63.157241185614239</c:v>
                </c:pt>
                <c:pt idx="91">
                  <c:v>63.162810932326892</c:v>
                </c:pt>
                <c:pt idx="92">
                  <c:v>63.166964936544034</c:v>
                </c:pt>
                <c:pt idx="93">
                  <c:v>63.169553388220109</c:v>
                </c:pt>
                <c:pt idx="94">
                  <c:v>63.170453000355764</c:v>
                </c:pt>
                <c:pt idx="95">
                  <c:v>63.169563408713103</c:v>
                </c:pt>
                <c:pt idx="96">
                  <c:v>63.16680406654956</c:v>
                </c:pt>
                <c:pt idx="97">
                  <c:v>63.162111561980055</c:v>
                </c:pt>
                <c:pt idx="98">
                  <c:v>63.155437296949017</c:v>
                </c:pt>
                <c:pt idx="99">
                  <c:v>63.146745476250572</c:v>
                </c:pt>
                <c:pt idx="100">
                  <c:v>63.136011362917301</c:v>
                </c:pt>
                <c:pt idx="101">
                  <c:v>63.1232197628877</c:v>
                </c:pt>
                <c:pt idx="102">
                  <c:v>63.108363707385905</c:v>
                </c:pt>
                <c:pt idx="103">
                  <c:v>63.091443306088564</c:v>
                </c:pt>
                <c:pt idx="104">
                  <c:v>63.072464748064363</c:v>
                </c:pt>
                <c:pt idx="105">
                  <c:v>63.051439430774423</c:v>
                </c:pt>
                <c:pt idx="106">
                  <c:v>63.028383200216169</c:v>
                </c:pt>
                <c:pt idx="107">
                  <c:v>63.00331568766515</c:v>
                </c:pt>
                <c:pt idx="108">
                  <c:v>62.976259730486348</c:v>
                </c:pt>
                <c:pt idx="109">
                  <c:v>62.947240866202762</c:v>
                </c:pt>
                <c:pt idx="110">
                  <c:v>62.916286890477053</c:v>
                </c:pt>
                <c:pt idx="111">
                  <c:v>62.88342747091626</c:v>
                </c:pt>
                <c:pt idx="112">
                  <c:v>62.848693809684846</c:v>
                </c:pt>
                <c:pt idx="113">
                  <c:v>62.812118348834474</c:v>
                </c:pt>
                <c:pt idx="114">
                  <c:v>62.773734513053981</c:v>
                </c:pt>
                <c:pt idx="115">
                  <c:v>62.733576485225882</c:v>
                </c:pt>
                <c:pt idx="116">
                  <c:v>62.691679010767757</c:v>
                </c:pt>
                <c:pt idx="117">
                  <c:v>62.648077227247356</c:v>
                </c:pt>
                <c:pt idx="118">
                  <c:v>62.602806516200857</c:v>
                </c:pt>
                <c:pt idx="119">
                  <c:v>62.555902374469227</c:v>
                </c:pt>
                <c:pt idx="120">
                  <c:v>62.507400302699367</c:v>
                </c:pt>
                <c:pt idx="121">
                  <c:v>62.457335708945607</c:v>
                </c:pt>
                <c:pt idx="122">
                  <c:v>62.405743825560791</c:v>
                </c:pt>
                <c:pt idx="123">
                  <c:v>62.352659637784882</c:v>
                </c:pt>
                <c:pt idx="124">
                  <c:v>62.298117822630829</c:v>
                </c:pt>
                <c:pt idx="125">
                  <c:v>62.24215269683603</c:v>
                </c:pt>
                <c:pt idx="126">
                  <c:v>62.184798172793677</c:v>
                </c:pt>
                <c:pt idx="127">
                  <c:v>62.126087721507147</c:v>
                </c:pt>
                <c:pt idx="128">
                  <c:v>62.066054341723515</c:v>
                </c:pt>
                <c:pt idx="129">
                  <c:v>62.004730534501348</c:v>
                </c:pt>
                <c:pt idx="130">
                  <c:v>61.942148282554101</c:v>
                </c:pt>
                <c:pt idx="131">
                  <c:v>61.878339033788635</c:v>
                </c:pt>
                <c:pt idx="132">
                  <c:v>61.813333688524068</c:v>
                </c:pt>
                <c:pt idx="133">
                  <c:v>61.747162589936451</c:v>
                </c:pt>
                <c:pt idx="134">
                  <c:v>61.679855517327894</c:v>
                </c:pt>
                <c:pt idx="135">
                  <c:v>61.611441681862246</c:v>
                </c:pt>
                <c:pt idx="136">
                  <c:v>61.541949724454852</c:v>
                </c:pt>
                <c:pt idx="137">
                  <c:v>61.471407715534696</c:v>
                </c:pt>
                <c:pt idx="138">
                  <c:v>61.399843156434201</c:v>
                </c:pt>
                <c:pt idx="139">
                  <c:v>61.32728298218629</c:v>
                </c:pt>
                <c:pt idx="140">
                  <c:v>61.253753565536314</c:v>
                </c:pt>
                <c:pt idx="141">
                  <c:v>61.179280721996179</c:v>
                </c:pt>
                <c:pt idx="142">
                  <c:v>61.10388971579026</c:v>
                </c:pt>
                <c:pt idx="143">
                  <c:v>61.027605266557643</c:v>
                </c:pt>
                <c:pt idx="144">
                  <c:v>60.950451556692869</c:v>
                </c:pt>
                <c:pt idx="145">
                  <c:v>60.872452239219754</c:v>
                </c:pt>
                <c:pt idx="146">
                  <c:v>60.793630446105453</c:v>
                </c:pt>
                <c:pt idx="147">
                  <c:v>60.714008796933527</c:v>
                </c:pt>
                <c:pt idx="148">
                  <c:v>60.633609407863304</c:v>
                </c:pt>
                <c:pt idx="149">
                  <c:v>60.552453900812111</c:v>
                </c:pt>
                <c:pt idx="150">
                  <c:v>60.470563412804609</c:v>
                </c:pt>
                <c:pt idx="151">
                  <c:v>60.387958605440147</c:v>
                </c:pt>
                <c:pt idx="152">
                  <c:v>60.304659674434532</c:v>
                </c:pt>
                <c:pt idx="153">
                  <c:v>60.220686359199604</c:v>
                </c:pt>
                <c:pt idx="154">
                  <c:v>60.136057952426569</c:v>
                </c:pt>
                <c:pt idx="155">
                  <c:v>60.050793309645087</c:v>
                </c:pt>
                <c:pt idx="156">
                  <c:v>59.964910858733333</c:v>
                </c:pt>
                <c:pt idx="157">
                  <c:v>59.878428609357385</c:v>
                </c:pt>
                <c:pt idx="158">
                  <c:v>59.791364162321088</c:v>
                </c:pt>
                <c:pt idx="159">
                  <c:v>59.703734718811262</c:v>
                </c:pt>
                <c:pt idx="160">
                  <c:v>59.615557089524515</c:v>
                </c:pt>
                <c:pt idx="161">
                  <c:v>59.526847703664032</c:v>
                </c:pt>
                <c:pt idx="162">
                  <c:v>59.43762261779672</c:v>
                </c:pt>
                <c:pt idx="163">
                  <c:v>59.34789752456399</c:v>
                </c:pt>
                <c:pt idx="164">
                  <c:v>59.257687761238145</c:v>
                </c:pt>
                <c:pt idx="165">
                  <c:v>59.167008318120196</c:v>
                </c:pt>
                <c:pt idx="166">
                  <c:v>59.075873846775224</c:v>
                </c:pt>
                <c:pt idx="167">
                  <c:v>58.984298668101772</c:v>
                </c:pt>
                <c:pt idx="168">
                  <c:v>58.892296780233508</c:v>
                </c:pt>
                <c:pt idx="169">
                  <c:v>58.799881866271747</c:v>
                </c:pt>
                <c:pt idx="170">
                  <c:v>58.707067301848483</c:v>
                </c:pt>
                <c:pt idx="171">
                  <c:v>58.613866162519045</c:v>
                </c:pt>
                <c:pt idx="172">
                  <c:v>58.520291230986146</c:v>
                </c:pt>
                <c:pt idx="173">
                  <c:v>58.426355004154971</c:v>
                </c:pt>
                <c:pt idx="174">
                  <c:v>58.332069700021677</c:v>
                </c:pt>
                <c:pt idx="175">
                  <c:v>58.237447264396238</c:v>
                </c:pt>
                <c:pt idx="176">
                  <c:v>58.142499377461789</c:v>
                </c:pt>
                <c:pt idx="177">
                  <c:v>58.04723746017298</c:v>
                </c:pt>
                <c:pt idx="178">
                  <c:v>57.951672680495392</c:v>
                </c:pt>
                <c:pt idx="179">
                  <c:v>57.855815959488595</c:v>
                </c:pt>
                <c:pt idx="180">
                  <c:v>57.75967797723581</c:v>
                </c:pt>
                <c:pt idx="181">
                  <c:v>57.663269178622798</c:v>
                </c:pt>
                <c:pt idx="182">
                  <c:v>57.566599778969149</c:v>
                </c:pt>
                <c:pt idx="183">
                  <c:v>57.469679769514414</c:v>
                </c:pt>
                <c:pt idx="184">
                  <c:v>57.372518922763206</c:v>
                </c:pt>
                <c:pt idx="185">
                  <c:v>57.275126797691229</c:v>
                </c:pt>
                <c:pt idx="186">
                  <c:v>57.177512744815701</c:v>
                </c:pt>
                <c:pt idx="187">
                  <c:v>57.079685911134135</c:v>
                </c:pt>
                <c:pt idx="188">
                  <c:v>56.981655244933265</c:v>
                </c:pt>
                <c:pt idx="189">
                  <c:v>56.883429500472204</c:v>
                </c:pt>
                <c:pt idx="190">
                  <c:v>56.785017242542438</c:v>
                </c:pt>
                <c:pt idx="191">
                  <c:v>56.686426850908418</c:v>
                </c:pt>
                <c:pt idx="192">
                  <c:v>56.587666524630592</c:v>
                </c:pt>
                <c:pt idx="193">
                  <c:v>56.488744286275164</c:v>
                </c:pt>
                <c:pt idx="194">
                  <c:v>56.389667986012739</c:v>
                </c:pt>
                <c:pt idx="195">
                  <c:v>56.290445305609254</c:v>
                </c:pt>
                <c:pt idx="196">
                  <c:v>56.191083762311465</c:v>
                </c:pt>
                <c:pt idx="197">
                  <c:v>56.091590712630534</c:v>
                </c:pt>
                <c:pt idx="198">
                  <c:v>55.991973356026094</c:v>
                </c:pt>
                <c:pt idx="199">
                  <c:v>55.892238738493347</c:v>
                </c:pt>
                <c:pt idx="200">
                  <c:v>55.792393756056128</c:v>
                </c:pt>
                <c:pt idx="201">
                  <c:v>55.692445158168766</c:v>
                </c:pt>
                <c:pt idx="202">
                  <c:v>55.592399551028464</c:v>
                </c:pt>
                <c:pt idx="203">
                  <c:v>55.492263400801434</c:v>
                </c:pt>
                <c:pt idx="204">
                  <c:v>55.392043036765187</c:v>
                </c:pt>
                <c:pt idx="205">
                  <c:v>55.291744654368458</c:v>
                </c:pt>
                <c:pt idx="206">
                  <c:v>55.191374318212482</c:v>
                </c:pt>
                <c:pt idx="207">
                  <c:v>55.090937964954406</c:v>
                </c:pt>
                <c:pt idx="208">
                  <c:v>54.990441406136327</c:v>
                </c:pt>
                <c:pt idx="209">
                  <c:v>54.889890330940815</c:v>
                </c:pt>
                <c:pt idx="210">
                  <c:v>54.789290308876119</c:v>
                </c:pt>
                <c:pt idx="211">
                  <c:v>54.688646792392518</c:v>
                </c:pt>
                <c:pt idx="212">
                  <c:v>54.587965119431445</c:v>
                </c:pt>
                <c:pt idx="213">
                  <c:v>54.487250515910262</c:v>
                </c:pt>
                <c:pt idx="214">
                  <c:v>54.386508098143437</c:v>
                </c:pt>
                <c:pt idx="215">
                  <c:v>54.285742875202743</c:v>
                </c:pt>
                <c:pt idx="216">
                  <c:v>54.18495975121786</c:v>
                </c:pt>
                <c:pt idx="217">
                  <c:v>54.084163527618884</c:v>
                </c:pt>
                <c:pt idx="218">
                  <c:v>53.983358905323115</c:v>
                </c:pt>
                <c:pt idx="219">
                  <c:v>53.882550486866691</c:v>
                </c:pt>
                <c:pt idx="220">
                  <c:v>53.781742778483647</c:v>
                </c:pt>
                <c:pt idx="221">
                  <c:v>53.680940192133008</c:v>
                </c:pt>
                <c:pt idx="222">
                  <c:v>53.580147047476132</c:v>
                </c:pt>
                <c:pt idx="223">
                  <c:v>53.479367573805419</c:v>
                </c:pt>
                <c:pt idx="224">
                  <c:v>53.378605911924993</c:v>
                </c:pt>
                <c:pt idx="225">
                  <c:v>53.277866115986797</c:v>
                </c:pt>
                <c:pt idx="226">
                  <c:v>52.272504198804569</c:v>
                </c:pt>
                <c:pt idx="227">
                  <c:v>51.273208793715895</c:v>
                </c:pt>
                <c:pt idx="228">
                  <c:v>50.282848495936435</c:v>
                </c:pt>
                <c:pt idx="229">
                  <c:v>49.30373137998879</c:v>
                </c:pt>
                <c:pt idx="230">
                  <c:v>48.337702822283404</c:v>
                </c:pt>
                <c:pt idx="231">
                  <c:v>47.386224342792531</c:v>
                </c:pt>
                <c:pt idx="232">
                  <c:v>46.450437731672793</c:v>
                </c:pt>
                <c:pt idx="233">
                  <c:v>45.531217647958471</c:v>
                </c:pt>
                <c:pt idx="234">
                  <c:v>44.629215091805833</c:v>
                </c:pt>
                <c:pt idx="235">
                  <c:v>43.744893576848312</c:v>
                </c:pt>
                <c:pt idx="236">
                  <c:v>42.878559405834437</c:v>
                </c:pt>
                <c:pt idx="237">
                  <c:v>42.03038713861028</c:v>
                </c:pt>
                <c:pt idx="238">
                  <c:v>41.200441106565961</c:v>
                </c:pt>
                <c:pt idx="239">
                  <c:v>40.388693650373881</c:v>
                </c:pt>
                <c:pt idx="240">
                  <c:v>39.595040622822438</c:v>
                </c:pt>
                <c:pt idx="241">
                  <c:v>38.819314594705048</c:v>
                </c:pt>
                <c:pt idx="242">
                  <c:v>38.06129612107307</c:v>
                </c:pt>
                <c:pt idx="243">
                  <c:v>37.320723361880709</c:v>
                </c:pt>
                <c:pt idx="244">
                  <c:v>36.59730030090418</c:v>
                </c:pt>
                <c:pt idx="245">
                  <c:v>35.890703766677746</c:v>
                </c:pt>
                <c:pt idx="246">
                  <c:v>35.200589426754618</c:v>
                </c:pt>
                <c:pt idx="247">
                  <c:v>34.526596900145165</c:v>
                </c:pt>
                <c:pt idx="248">
                  <c:v>33.868354111024928</c:v>
                </c:pt>
                <c:pt idx="249">
                  <c:v>33.225480988758761</c:v>
                </c:pt>
                <c:pt idx="250">
                  <c:v>32.597592604213133</c:v>
                </c:pt>
                <c:pt idx="251">
                  <c:v>31.984301819657929</c:v>
                </c:pt>
                <c:pt idx="252">
                  <c:v>31.385221518836602</c:v>
                </c:pt>
                <c:pt idx="253">
                  <c:v>30.799966474677348</c:v>
                </c:pt>
                <c:pt idx="254">
                  <c:v>30.228154904333593</c:v>
                </c:pt>
                <c:pt idx="255">
                  <c:v>29.669409754577941</c:v>
                </c:pt>
                <c:pt idx="256">
                  <c:v>29.123359754836031</c:v>
                </c:pt>
                <c:pt idx="257">
                  <c:v>28.58964027020474</c:v>
                </c:pt>
                <c:pt idx="258">
                  <c:v>28.067893982523799</c:v>
                </c:pt>
                <c:pt idx="259">
                  <c:v>27.557771423869696</c:v>
                </c:pt>
                <c:pt idx="260">
                  <c:v>27.05893138363038</c:v>
                </c:pt>
                <c:pt idx="261">
                  <c:v>26.571041207532801</c:v>
                </c:pt>
                <c:pt idx="262">
                  <c:v>26.093777004570171</c:v>
                </c:pt>
                <c:pt idx="263">
                  <c:v>25.626823775670431</c:v>
                </c:pt>
                <c:pt idx="264">
                  <c:v>25.169875476109468</c:v>
                </c:pt>
                <c:pt idx="265">
                  <c:v>24.722635022075394</c:v>
                </c:pt>
                <c:pt idx="266">
                  <c:v>24.284814250399535</c:v>
                </c:pt>
                <c:pt idx="267">
                  <c:v>23.856133839252237</c:v>
                </c:pt>
                <c:pt idx="268">
                  <c:v>23.436323196549495</c:v>
                </c:pt>
                <c:pt idx="269">
                  <c:v>23.025120321891279</c:v>
                </c:pt>
                <c:pt idx="270">
                  <c:v>22.622271647051804</c:v>
                </c:pt>
                <c:pt idx="271">
                  <c:v>22.227531859342946</c:v>
                </c:pt>
                <c:pt idx="272">
                  <c:v>21.840663711561604</c:v>
                </c:pt>
                <c:pt idx="273">
                  <c:v>21.461437821704635</c:v>
                </c:pt>
                <c:pt idx="274">
                  <c:v>21.089632465171235</c:v>
                </c:pt>
                <c:pt idx="275">
                  <c:v>20.7250333617732</c:v>
                </c:pt>
                <c:pt idx="276">
                  <c:v>20.367433459525557</c:v>
                </c:pt>
                <c:pt idx="277">
                  <c:v>20.016632716885823</c:v>
                </c:pt>
                <c:pt idx="278">
                  <c:v>19.672437884849217</c:v>
                </c:pt>
                <c:pt idx="279">
                  <c:v>19.334662290078711</c:v>
                </c:pt>
                <c:pt idx="280">
                  <c:v>19.00312562005243</c:v>
                </c:pt>
                <c:pt idx="281">
                  <c:v>18.677653711039596</c:v>
                </c:pt>
                <c:pt idx="282">
                  <c:v>18.358078339569715</c:v>
                </c:pt>
                <c:pt idx="283">
                  <c:v>18.044237017933199</c:v>
                </c:pt>
                <c:pt idx="284">
                  <c:v>17.735972794140707</c:v>
                </c:pt>
                <c:pt idx="285">
                  <c:v>17.433134056676238</c:v>
                </c:pt>
                <c:pt idx="286">
                  <c:v>17.135574344298362</c:v>
                </c:pt>
                <c:pt idx="287">
                  <c:v>16.843152161074016</c:v>
                </c:pt>
                <c:pt idx="288">
                  <c:v>16.555730796771741</c:v>
                </c:pt>
                <c:pt idx="289">
                  <c:v>16.273178152691713</c:v>
                </c:pt>
                <c:pt idx="290">
                  <c:v>15.995366572966049</c:v>
                </c:pt>
                <c:pt idx="291">
                  <c:v>15.722172681329766</c:v>
                </c:pt>
                <c:pt idx="292">
                  <c:v>15.453477223331134</c:v>
                </c:pt>
                <c:pt idx="293">
                  <c:v>15.189164913926334</c:v>
                </c:pt>
                <c:pt idx="294">
                  <c:v>14.929124290382958</c:v>
                </c:pt>
                <c:pt idx="295">
                  <c:v>14.673247570399781</c:v>
                </c:pt>
                <c:pt idx="296">
                  <c:v>14.421430515337647</c:v>
                </c:pt>
                <c:pt idx="297">
                  <c:v>14.173572298444583</c:v>
                </c:pt>
                <c:pt idx="298">
                  <c:v>13.929575377950442</c:v>
                </c:pt>
                <c:pt idx="299">
                  <c:v>13.689345374901364</c:v>
                </c:pt>
                <c:pt idx="300">
                  <c:v>13.452790955597038</c:v>
                </c:pt>
                <c:pt idx="301">
                  <c:v>13.219823718493529</c:v>
                </c:pt>
                <c:pt idx="302">
                  <c:v>12.990358085431609</c:v>
                </c:pt>
                <c:pt idx="303">
                  <c:v>12.764311197049011</c:v>
                </c:pt>
                <c:pt idx="304">
                  <c:v>12.541602812237016</c:v>
                </c:pt>
                <c:pt idx="305">
                  <c:v>12.32215521150107</c:v>
                </c:pt>
                <c:pt idx="306">
                  <c:v>12.105893104087897</c:v>
                </c:pt>
                <c:pt idx="307">
                  <c:v>11.892743538742707</c:v>
                </c:pt>
                <c:pt idx="308">
                  <c:v>11.682635817963984</c:v>
                </c:pt>
                <c:pt idx="309">
                  <c:v>11.475501415623995</c:v>
                </c:pt>
                <c:pt idx="310">
                  <c:v>11.27127389782919</c:v>
                </c:pt>
                <c:pt idx="311">
                  <c:v>11.069888846894855</c:v>
                </c:pt>
                <c:pt idx="312">
                  <c:v>10.871283788314486</c:v>
                </c:pt>
                <c:pt idx="313">
                  <c:v>10.675398120606275</c:v>
                </c:pt>
                <c:pt idx="314">
                  <c:v>10.48217304792351</c:v>
                </c:pt>
                <c:pt idx="315">
                  <c:v>10.291551515318929</c:v>
                </c:pt>
                <c:pt idx="316">
                  <c:v>10.103478146557137</c:v>
                </c:pt>
                <c:pt idx="317">
                  <c:v>9.9178991843730273</c:v>
                </c:pt>
                <c:pt idx="318">
                  <c:v>9.7347624330765825</c:v>
                </c:pt>
                <c:pt idx="319">
                  <c:v>9.5540172034097566</c:v>
                </c:pt>
                <c:pt idx="320">
                  <c:v>9.3756142595641165</c:v>
                </c:pt>
                <c:pt idx="321">
                  <c:v>9.1995057682696313</c:v>
                </c:pt>
                <c:pt idx="322">
                  <c:v>9.025645249871701</c:v>
                </c:pt>
                <c:pt idx="323">
                  <c:v>8.8539875313138623</c:v>
                </c:pt>
                <c:pt idx="324">
                  <c:v>8.6844887009483784</c:v>
                </c:pt>
                <c:pt idx="325">
                  <c:v>8.5171060650995685</c:v>
                </c:pt>
                <c:pt idx="326">
                  <c:v>8.3517981063079674</c:v>
                </c:pt>
                <c:pt idx="327">
                  <c:v>8.1885244431859689</c:v>
                </c:pt>
                <c:pt idx="328">
                  <c:v>8.0272457918188707</c:v>
                </c:pt>
                <c:pt idx="329">
                  <c:v>7.867923928647798</c:v>
                </c:pt>
                <c:pt idx="330">
                  <c:v>7.7105216547734017</c:v>
                </c:pt>
                <c:pt idx="331">
                  <c:v>7.5550027616222337</c:v>
                </c:pt>
                <c:pt idx="332">
                  <c:v>7.4013319979193852</c:v>
                </c:pt>
                <c:pt idx="333">
                  <c:v>7.2494750379149195</c:v>
                </c:pt>
                <c:pt idx="334">
                  <c:v>7.0993984508112078</c:v>
                </c:pt>
                <c:pt idx="335">
                  <c:v>6.9510696713433333</c:v>
                </c:pt>
                <c:pt idx="336">
                  <c:v>6.8044569714648446</c:v>
                </c:pt>
                <c:pt idx="337">
                  <c:v>6.6595294330943489</c:v>
                </c:pt>
                <c:pt idx="338">
                  <c:v>6.5162569218786928</c:v>
                </c:pt>
                <c:pt idx="339">
                  <c:v>6.3746100619330264</c:v>
                </c:pt>
                <c:pt idx="340">
                  <c:v>6.2345602115166798</c:v>
                </c:pt>
                <c:pt idx="341">
                  <c:v>6.0960794396080473</c:v>
                </c:pt>
                <c:pt idx="342">
                  <c:v>5.9591405033414446</c:v>
                </c:pt>
                <c:pt idx="343">
                  <c:v>5.8237168262720616</c:v>
                </c:pt>
                <c:pt idx="344">
                  <c:v>5.6897824774348749</c:v>
                </c:pt>
                <c:pt idx="345">
                  <c:v>5.5573121511665136</c:v>
                </c:pt>
                <c:pt idx="346">
                  <c:v>5.4262811476589263</c:v>
                </c:pt>
                <c:pt idx="347">
                  <c:v>5.2966653542163726</c:v>
                </c:pt>
                <c:pt idx="348">
                  <c:v>5.1684412271871167</c:v>
                </c:pt>
                <c:pt idx="349">
                  <c:v>5.0415857745435346</c:v>
                </c:pt>
                <c:pt idx="350">
                  <c:v>4.9160765390851111</c:v>
                </c:pt>
                <c:pt idx="351">
                  <c:v>4.7918915822391455</c:v>
                </c:pt>
                <c:pt idx="352">
                  <c:v>4.6690094684363999</c:v>
                </c:pt>
                <c:pt idx="353">
                  <c:v>4.5474092500388679</c:v>
                </c:pt>
                <c:pt idx="354">
                  <c:v>4.4270704527982332</c:v>
                </c:pt>
                <c:pt idx="355">
                  <c:v>4.3079730618237022</c:v>
                </c:pt>
                <c:pt idx="356">
                  <c:v>4.1900975080407648</c:v>
                </c:pt>
                <c:pt idx="357">
                  <c:v>4.0734246551206468</c:v>
                </c:pt>
                <c:pt idx="358">
                  <c:v>3.9579357868628051</c:v>
                </c:pt>
                <c:pt idx="359">
                  <c:v>3.8436125950130418</c:v>
                </c:pt>
                <c:pt idx="360">
                  <c:v>3.7304371675006109</c:v>
                </c:pt>
                <c:pt idx="361">
                  <c:v>3.6183919770782325</c:v>
                </c:pt>
                <c:pt idx="362">
                  <c:v>3.5074598703493223</c:v>
                </c:pt>
                <c:pt idx="363">
                  <c:v>3.3976240571685139</c:v>
                </c:pt>
                <c:pt idx="364">
                  <c:v>3.288868100400606</c:v>
                </c:pt>
                <c:pt idx="365">
                  <c:v>3.1811759060247766</c:v>
                </c:pt>
                <c:pt idx="366">
                  <c:v>3.0745317135710479</c:v>
                </c:pt>
                <c:pt idx="367">
                  <c:v>2.9689200868765795</c:v>
                </c:pt>
                <c:pt idx="368">
                  <c:v>2.8643259051497125</c:v>
                </c:pt>
                <c:pt idx="369">
                  <c:v>2.7607343543302818</c:v>
                </c:pt>
                <c:pt idx="370">
                  <c:v>2.6581309187355942</c:v>
                </c:pt>
                <c:pt idx="371">
                  <c:v>2.5565013729810744</c:v>
                </c:pt>
                <c:pt idx="372">
                  <c:v>2.4558317741654889</c:v>
                </c:pt>
                <c:pt idx="373">
                  <c:v>2.3561084543114532</c:v>
                </c:pt>
                <c:pt idx="374">
                  <c:v>2.2573180130510195</c:v>
                </c:pt>
                <c:pt idx="375">
                  <c:v>2.1594473105486998</c:v>
                </c:pt>
                <c:pt idx="376">
                  <c:v>2.0624834606520608</c:v>
                </c:pt>
                <c:pt idx="377">
                  <c:v>1.9664138242619913</c:v>
                </c:pt>
                <c:pt idx="378">
                  <c:v>1.871226002915364</c:v>
                </c:pt>
                <c:pt idx="379">
                  <c:v>1.7769078325712826</c:v>
                </c:pt>
                <c:pt idx="380">
                  <c:v>1.6834473775948027</c:v>
                </c:pt>
                <c:pt idx="381">
                  <c:v>1.5908329249301119</c:v>
                </c:pt>
                <c:pt idx="382">
                  <c:v>1.4990529784569446</c:v>
                </c:pt>
                <c:pt idx="383">
                  <c:v>1.4080962535236381</c:v>
                </c:pt>
                <c:pt idx="384">
                  <c:v>1.317951671650178</c:v>
                </c:pt>
                <c:pt idx="385">
                  <c:v>1.2286083553960623</c:v>
                </c:pt>
                <c:pt idx="386">
                  <c:v>1.1400556233863881</c:v>
                </c:pt>
                <c:pt idx="387">
                  <c:v>1.0522829854906774</c:v>
                </c:pt>
                <c:pt idx="388">
                  <c:v>0.9652801381498648</c:v>
                </c:pt>
                <c:pt idx="389">
                  <c:v>0.87903695984536512</c:v>
                </c:pt>
                <c:pt idx="390">
                  <c:v>0.79354350670573126</c:v>
                </c:pt>
                <c:pt idx="391">
                  <c:v>0.70879000824612604</c:v>
                </c:pt>
                <c:pt idx="392">
                  <c:v>0.62476686323608988</c:v>
                </c:pt>
                <c:pt idx="393">
                  <c:v>0.54146463569082925</c:v>
                </c:pt>
                <c:pt idx="394">
                  <c:v>0.45887405098213208</c:v>
                </c:pt>
                <c:pt idx="395">
                  <c:v>0.37698599206510153</c:v>
                </c:pt>
                <c:pt idx="396">
                  <c:v>0.29579149581564934</c:v>
                </c:pt>
                <c:pt idx="397">
                  <c:v>0.21528174947653156</c:v>
                </c:pt>
                <c:pt idx="398">
                  <c:v>0.13544808720678247</c:v>
                </c:pt>
                <c:pt idx="399">
                  <c:v>5.6281986732471978E-2</c:v>
                </c:pt>
                <c:pt idx="400">
                  <c:v>-2.2224933906187516E-2</c:v>
                </c:pt>
                <c:pt idx="401">
                  <c:v>-0.10008091951297615</c:v>
                </c:pt>
                <c:pt idx="402">
                  <c:v>-0.17729408080364806</c:v>
                </c:pt>
                <c:pt idx="403">
                  <c:v>-0.25387239738569178</c:v>
                </c:pt>
                <c:pt idx="404">
                  <c:v>-0.32982372065328036</c:v>
                </c:pt>
                <c:pt idx="405">
                  <c:v>-0.4051557766004521</c:v>
                </c:pt>
                <c:pt idx="406">
                  <c:v>-0.47987616855454007</c:v>
                </c:pt>
                <c:pt idx="407">
                  <c:v>-0.55399237983297667</c:v>
                </c:pt>
                <c:pt idx="408">
                  <c:v>-0.62751177632588906</c:v>
                </c:pt>
                <c:pt idx="409">
                  <c:v>-0.70044160900701513</c:v>
                </c:pt>
                <c:pt idx="410">
                  <c:v>-0.77278901637461672</c:v>
                </c:pt>
                <c:pt idx="411">
                  <c:v>-0.84456102682585765</c:v>
                </c:pt>
                <c:pt idx="412">
                  <c:v>-0.9157645609653855</c:v>
                </c:pt>
                <c:pt idx="413">
                  <c:v>-0.98640643385166982</c:v>
                </c:pt>
                <c:pt idx="414">
                  <c:v>-1.0564933571816084</c:v>
                </c:pt>
                <c:pt idx="415">
                  <c:v>-1.1260319414168976</c:v>
                </c:pt>
                <c:pt idx="416">
                  <c:v>-1.1950286978526776</c:v>
                </c:pt>
                <c:pt idx="417">
                  <c:v>-1.2634900406310408</c:v>
                </c:pt>
                <c:pt idx="418">
                  <c:v>-1.3314222887013329</c:v>
                </c:pt>
                <c:pt idx="419">
                  <c:v>-1.3988316677279329</c:v>
                </c:pt>
                <c:pt idx="420">
                  <c:v>-1.4657243119483496</c:v>
                </c:pt>
                <c:pt idx="421">
                  <c:v>-1.532106265982236</c:v>
                </c:pt>
                <c:pt idx="422">
                  <c:v>-1.5979834865939324</c:v>
                </c:pt>
                <c:pt idx="423">
                  <c:v>-1.6633618444080867</c:v>
                </c:pt>
                <c:pt idx="424">
                  <c:v>-1.7282471255824134</c:v>
                </c:pt>
                <c:pt idx="425">
                  <c:v>-1.7926450334365711</c:v>
                </c:pt>
                <c:pt idx="426">
                  <c:v>-1.8565611900398835</c:v>
                </c:pt>
                <c:pt idx="427">
                  <c:v>-1.9200011377588737</c:v>
                </c:pt>
                <c:pt idx="428">
                  <c:v>-1.9829703407651493</c:v>
                </c:pt>
                <c:pt idx="429">
                  <c:v>-2.0454741865059987</c:v>
                </c:pt>
                <c:pt idx="430">
                  <c:v>-2.1075179871380669</c:v>
                </c:pt>
                <c:pt idx="431">
                  <c:v>-2.1691069809253918</c:v>
                </c:pt>
                <c:pt idx="432">
                  <c:v>-2.2302463336027358</c:v>
                </c:pt>
                <c:pt idx="433">
                  <c:v>-2.2909411397057795</c:v>
                </c:pt>
                <c:pt idx="434">
                  <c:v>-2.3511964238682879</c:v>
                </c:pt>
                <c:pt idx="435">
                  <c:v>-2.411017142088582</c:v>
                </c:pt>
                <c:pt idx="436">
                  <c:v>-2.4704081829641211</c:v>
                </c:pt>
                <c:pt idx="437">
                  <c:v>-2.5293743688978338</c:v>
                </c:pt>
                <c:pt idx="438">
                  <c:v>-2.5879204572746062</c:v>
                </c:pt>
                <c:pt idx="439">
                  <c:v>-2.6460511416101156</c:v>
                </c:pt>
                <c:pt idx="440">
                  <c:v>-2.7037710526725505</c:v>
                </c:pt>
                <c:pt idx="441">
                  <c:v>-2.7610847595780399</c:v>
                </c:pt>
                <c:pt idx="442">
                  <c:v>-2.8179967708602476</c:v>
                </c:pt>
                <c:pt idx="443">
                  <c:v>-2.874511535515353</c:v>
                </c:pt>
                <c:pt idx="444">
                  <c:v>-2.9306334440227602</c:v>
                </c:pt>
                <c:pt idx="445">
                  <c:v>-2.9863668293422734</c:v>
                </c:pt>
                <c:pt idx="446">
                  <c:v>-3.0417159678886776</c:v>
                </c:pt>
                <c:pt idx="447">
                  <c:v>-3.0966850804842636</c:v>
                </c:pt>
                <c:pt idx="448">
                  <c:v>-3.1512783332894116</c:v>
                </c:pt>
                <c:pt idx="449">
                  <c:v>-3.2054998387127966</c:v>
                </c:pt>
                <c:pt idx="450">
                  <c:v>-3.2593536563010161</c:v>
                </c:pt>
                <c:pt idx="451">
                  <c:v>-3.3128437936084367</c:v>
                </c:pt>
                <c:pt idx="452">
                  <c:v>-3.3659742070480547</c:v>
                </c:pt>
                <c:pt idx="453">
                  <c:v>-3.4187488027235133</c:v>
                </c:pt>
                <c:pt idx="454">
                  <c:v>-3.4711714372431857</c:v>
                </c:pt>
                <c:pt idx="455">
                  <c:v>-3.5232459185164089</c:v>
                </c:pt>
                <c:pt idx="456">
                  <c:v>-3.5749760065325802</c:v>
                </c:pt>
                <c:pt idx="457">
                  <c:v>-3.6263654141238248</c:v>
                </c:pt>
                <c:pt idx="458">
                  <c:v>-3.6774178077111799</c:v>
                </c:pt>
                <c:pt idx="459">
                  <c:v>-3.7281368080350603</c:v>
                </c:pt>
                <c:pt idx="460">
                  <c:v>-3.778525990870321</c:v>
                </c:pt>
                <c:pt idx="461">
                  <c:v>-3.8285888877264256</c:v>
                </c:pt>
                <c:pt idx="462">
                  <c:v>-3.8783289865332904</c:v>
                </c:pt>
                <c:pt idx="463">
                  <c:v>-3.9277497323122361</c:v>
                </c:pt>
                <c:pt idx="464">
                  <c:v>-3.9768545278340923</c:v>
                </c:pt>
                <c:pt idx="465">
                  <c:v>-4.0256467342633471</c:v>
                </c:pt>
                <c:pt idx="466">
                  <c:v>-4.0741296717889952</c:v>
                </c:pt>
                <c:pt idx="467">
                  <c:v>-4.1223066202433074</c:v>
                </c:pt>
                <c:pt idx="468">
                  <c:v>-4.1701808197077526</c:v>
                </c:pt>
                <c:pt idx="469">
                  <c:v>-4.2177554711068979</c:v>
                </c:pt>
                <c:pt idx="470">
                  <c:v>-4.2650337367907696</c:v>
                </c:pt>
                <c:pt idx="471">
                  <c:v>-4.3120187411051916</c:v>
                </c:pt>
                <c:pt idx="472">
                  <c:v>-4.3587135709518066</c:v>
                </c:pt>
                <c:pt idx="473">
                  <c:v>-4.4051212763364731</c:v>
                </c:pt>
                <c:pt idx="474">
                  <c:v>-4.4512448709073169</c:v>
                </c:pt>
                <c:pt idx="475">
                  <c:v>-4.497087332482522</c:v>
                </c:pt>
                <c:pt idx="476">
                  <c:v>-4.5426516035679469</c:v>
                </c:pt>
                <c:pt idx="477">
                  <c:v>-4.5879405918648501</c:v>
                </c:pt>
                <c:pt idx="478">
                  <c:v>-4.6329571707682646</c:v>
                </c:pt>
                <c:pt idx="479">
                  <c:v>-4.677704179855624</c:v>
                </c:pt>
                <c:pt idx="480">
                  <c:v>-4.7221844253665779</c:v>
                </c:pt>
                <c:pt idx="481">
                  <c:v>-4.7664006806739678</c:v>
                </c:pt>
                <c:pt idx="482">
                  <c:v>-4.8103556867456803</c:v>
                </c:pt>
                <c:pt idx="483">
                  <c:v>-4.8540521525986264</c:v>
                </c:pt>
                <c:pt idx="484">
                  <c:v>-4.8974927557438832</c:v>
                </c:pt>
                <c:pt idx="485">
                  <c:v>-4.9406801426242737</c:v>
                </c:pt>
                <c:pt idx="486">
                  <c:v>-4.9836169290436771</c:v>
                </c:pt>
                <c:pt idx="487">
                  <c:v>-5.0263057005887219</c:v>
                </c:pt>
                <c:pt idx="488">
                  <c:v>-5.0687490130432025</c:v>
                </c:pt>
                <c:pt idx="489">
                  <c:v>-5.110949392794879</c:v>
                </c:pt>
                <c:pt idx="490">
                  <c:v>-5.1529093372354851</c:v>
                </c:pt>
                <c:pt idx="491">
                  <c:v>-5.194631315152975</c:v>
                </c:pt>
                <c:pt idx="492">
                  <c:v>-5.2361177671180315</c:v>
                </c:pt>
                <c:pt idx="493">
                  <c:v>-5.2773711058629544</c:v>
                </c:pt>
                <c:pt idx="494">
                  <c:v>-5.3183937166544695</c:v>
                </c:pt>
                <c:pt idx="495">
                  <c:v>-5.3591879576601116</c:v>
                </c:pt>
                <c:pt idx="496">
                  <c:v>-5.3997561603082715</c:v>
                </c:pt>
                <c:pt idx="497">
                  <c:v>-5.4401006296424441</c:v>
                </c:pt>
                <c:pt idx="498">
                  <c:v>-5.4802236446687971</c:v>
                </c:pt>
                <c:pt idx="499">
                  <c:v>-5.5201274586990223</c:v>
                </c:pt>
                <c:pt idx="500">
                  <c:v>-5.5598142996864794</c:v>
                </c:pt>
                <c:pt idx="501">
                  <c:v>-5.5992863705571096</c:v>
                </c:pt>
                <c:pt idx="502">
                  <c:v>-5.6385458495354328</c:v>
                </c:pt>
                <c:pt idx="503">
                  <c:v>-5.6775948904642917</c:v>
                </c:pt>
                <c:pt idx="504">
                  <c:v>-5.7164356231199633</c:v>
                </c:pt>
                <c:pt idx="505">
                  <c:v>-5.7550701535221265</c:v>
                </c:pt>
                <c:pt idx="506">
                  <c:v>-5.7935005642386557</c:v>
                </c:pt>
                <c:pt idx="507">
                  <c:v>-5.831728914685641</c:v>
                </c:pt>
                <c:pt idx="508">
                  <c:v>-5.8697572414226897</c:v>
                </c:pt>
                <c:pt idx="509">
                  <c:v>-5.9075875584432538</c:v>
                </c:pt>
                <c:pt idx="510">
                  <c:v>-5.9452218574609219</c:v>
                </c:pt>
                <c:pt idx="511">
                  <c:v>-5.9826621081904818</c:v>
                </c:pt>
                <c:pt idx="512">
                  <c:v>-6.0199102586252593</c:v>
                </c:pt>
                <c:pt idx="513">
                  <c:v>-6.0569682353097392</c:v>
                </c:pt>
                <c:pt idx="514">
                  <c:v>-6.0938379436081789</c:v>
                </c:pt>
                <c:pt idx="515">
                  <c:v>-6.1305212679689873</c:v>
                </c:pt>
                <c:pt idx="516">
                  <c:v>-6.1670200721850676</c:v>
                </c:pt>
                <c:pt idx="517">
                  <c:v>-6.2033361996501526</c:v>
                </c:pt>
                <c:pt idx="518">
                  <c:v>-6.2394714736113883</c:v>
                </c:pt>
                <c:pt idx="519">
                  <c:v>-6.2754276974180527</c:v>
                </c:pt>
                <c:pt idx="520">
                  <c:v>-6.311206654766238</c:v>
                </c:pt>
                <c:pt idx="521">
                  <c:v>-6.3468101099406056</c:v>
                </c:pt>
                <c:pt idx="522">
                  <c:v>-6.3822398080516223</c:v>
                </c:pt>
                <c:pt idx="523">
                  <c:v>-6.4174974752698972</c:v>
                </c:pt>
                <c:pt idx="524">
                  <c:v>-6.452584819057023</c:v>
                </c:pt>
                <c:pt idx="525">
                  <c:v>-6.4875035283927787</c:v>
                </c:pt>
                <c:pt idx="526">
                  <c:v>-6.5222552739990363</c:v>
                </c:pt>
                <c:pt idx="527">
                  <c:v>-6.5568417085607678</c:v>
                </c:pt>
                <c:pt idx="528">
                  <c:v>-6.5912644669434997</c:v>
                </c:pt>
                <c:pt idx="529">
                  <c:v>-6.6255251664074706</c:v>
                </c:pt>
                <c:pt idx="530">
                  <c:v>-6.659625406819373</c:v>
                </c:pt>
                <c:pt idx="531">
                  <c:v>-6.6935667708602296</c:v>
                </c:pt>
                <c:pt idx="532">
                  <c:v>-6.7273508242312801</c:v>
                </c:pt>
                <c:pt idx="533">
                  <c:v>-6.7609791158558039</c:v>
                </c:pt>
                <c:pt idx="534">
                  <c:v>-6.7944531780790953</c:v>
                </c:pt>
                <c:pt idx="535">
                  <c:v>-6.8277745268650847</c:v>
                </c:pt>
                <c:pt idx="536">
                  <c:v>-6.8609446619903451</c:v>
                </c:pt>
                <c:pt idx="537">
                  <c:v>-6.8939650672353991</c:v>
                </c:pt>
                <c:pt idx="538">
                  <c:v>-6.9268372105733533</c:v>
                </c:pt>
                <c:pt idx="539">
                  <c:v>-6.9595625443559186</c:v>
                </c:pt>
                <c:pt idx="540">
                  <c:v>-6.9921425054968722</c:v>
                </c:pt>
                <c:pt idx="541">
                  <c:v>-7.0245785156529905</c:v>
                </c:pt>
                <c:pt idx="542">
                  <c:v>-7.0568719814024803</c:v>
                </c:pt>
                <c:pt idx="543">
                  <c:v>-7.0890242944210229</c:v>
                </c:pt>
                <c:pt idx="544">
                  <c:v>-7.1210368316555162</c:v>
                </c:pt>
                <c:pt idx="545">
                  <c:v>-7.1529109554950594</c:v>
                </c:pt>
                <c:pt idx="546">
                  <c:v>-7.18464801394029</c:v>
                </c:pt>
                <c:pt idx="547">
                  <c:v>-7.2162493407697923</c:v>
                </c:pt>
                <c:pt idx="548">
                  <c:v>-7.2477162557047166</c:v>
                </c:pt>
                <c:pt idx="549">
                  <c:v>-7.2790500645709244</c:v>
                </c:pt>
                <c:pt idx="550">
                  <c:v>-7.3102520594593159</c:v>
                </c:pt>
                <c:pt idx="551">
                  <c:v>-7.3413235188835415</c:v>
                </c:pt>
                <c:pt idx="552">
                  <c:v>-7.372265707936009</c:v>
                </c:pt>
                <c:pt idx="553">
                  <c:v>-7.4030798784419005</c:v>
                </c:pt>
                <c:pt idx="554">
                  <c:v>-7.4337672691105752</c:v>
                </c:pt>
                <c:pt idx="555">
                  <c:v>-7.4643291056858629</c:v>
                </c:pt>
                <c:pt idx="556">
                  <c:v>-7.4947666010938292</c:v>
                </c:pt>
                <c:pt idx="557">
                  <c:v>-7.5250809555882086</c:v>
                </c:pt>
                <c:pt idx="558">
                  <c:v>-7.5552733568954977</c:v>
                </c:pt>
                <c:pt idx="559">
                  <c:v>-7.5853449803559272</c:v>
                </c:pt>
                <c:pt idx="560">
                  <c:v>-7.615296989064916</c:v>
                </c:pt>
                <c:pt idx="561">
                  <c:v>-7.6451305340109741</c:v>
                </c:pt>
                <c:pt idx="562">
                  <c:v>-7.674846754212723</c:v>
                </c:pt>
                <c:pt idx="563">
                  <c:v>-7.7044467768538709</c:v>
                </c:pt>
                <c:pt idx="564">
                  <c:v>-7.7339317174164535</c:v>
                </c:pt>
                <c:pt idx="565">
                  <c:v>-7.7633026798127389</c:v>
                </c:pt>
                <c:pt idx="566">
                  <c:v>-7.792560756514888</c:v>
                </c:pt>
                <c:pt idx="567">
                  <c:v>-7.8217070286832779</c:v>
                </c:pt>
                <c:pt idx="568">
                  <c:v>-7.8507425662933485</c:v>
                </c:pt>
                <c:pt idx="569">
                  <c:v>-7.8796684282607146</c:v>
                </c:pt>
                <c:pt idx="570">
                  <c:v>-7.9084856625645159</c:v>
                </c:pt>
                <c:pt idx="571">
                  <c:v>-7.9371953063694605</c:v>
                </c:pt>
                <c:pt idx="572">
                  <c:v>-7.9657983861464743</c:v>
                </c:pt>
                <c:pt idx="573">
                  <c:v>-7.9942959177914759</c:v>
                </c:pt>
                <c:pt idx="574">
                  <c:v>-8.0226889067426725</c:v>
                </c:pt>
                <c:pt idx="575">
                  <c:v>-8.0509783480972885</c:v>
                </c:pt>
                <c:pt idx="576">
                  <c:v>-8.0791652267251948</c:v>
                </c:pt>
                <c:pt idx="577">
                  <c:v>-8.1072505173829938</c:v>
                </c:pt>
                <c:pt idx="578">
                  <c:v>-8.135235184825234</c:v>
                </c:pt>
                <c:pt idx="579">
                  <c:v>-8.1631201839149981</c:v>
                </c:pt>
                <c:pt idx="580">
                  <c:v>-8.1909064597331849</c:v>
                </c:pt>
                <c:pt idx="581">
                  <c:v>-8.2185949476858013</c:v>
                </c:pt>
                <c:pt idx="582">
                  <c:v>-8.2461865736109132</c:v>
                </c:pt>
                <c:pt idx="583">
                  <c:v>-8.2736822538832939</c:v>
                </c:pt>
                <c:pt idx="584">
                  <c:v>-8.3010828955185616</c:v>
                </c:pt>
                <c:pt idx="585">
                  <c:v>-8.3283893962757531</c:v>
                </c:pt>
                <c:pt idx="586">
                  <c:v>-8.3556026447586191</c:v>
                </c:pt>
                <c:pt idx="587">
                  <c:v>-8.3827235205157535</c:v>
                </c:pt>
                <c:pt idx="588">
                  <c:v>-8.4097528941395581</c:v>
                </c:pt>
                <c:pt idx="589">
                  <c:v>-8.4366916273639276</c:v>
                </c:pt>
                <c:pt idx="590">
                  <c:v>-8.4635405731610263</c:v>
                </c:pt>
                <c:pt idx="591">
                  <c:v>-8.4903005758363292</c:v>
                </c:pt>
                <c:pt idx="592">
                  <c:v>-8.5169724711232675</c:v>
                </c:pt>
                <c:pt idx="593">
                  <c:v>-8.5435570862761381</c:v>
                </c:pt>
                <c:pt idx="594">
                  <c:v>-8.5700552401622758</c:v>
                </c:pt>
                <c:pt idx="595">
                  <c:v>-8.5964677433529175</c:v>
                </c:pt>
                <c:pt idx="596">
                  <c:v>-8.6227953982131567</c:v>
                </c:pt>
                <c:pt idx="597">
                  <c:v>-8.6490389989906475</c:v>
                </c:pt>
                <c:pt idx="598">
                  <c:v>-8.6751993319034568</c:v>
                </c:pt>
                <c:pt idx="599">
                  <c:v>-8.7012771752267781</c:v>
                </c:pt>
                <c:pt idx="600">
                  <c:v>-8.7272732993785382</c:v>
                </c:pt>
                <c:pt idx="601">
                  <c:v>-8.7531884670042359</c:v>
                </c:pt>
                <c:pt idx="602">
                  <c:v>-8.7790234330605301</c:v>
                </c:pt>
                <c:pt idx="603">
                  <c:v>-8.8047789448980041</c:v>
                </c:pt>
                <c:pt idx="604">
                  <c:v>-8.830455742342906</c:v>
                </c:pt>
                <c:pt idx="605">
                  <c:v>-8.856054557778009</c:v>
                </c:pt>
                <c:pt idx="606">
                  <c:v>-10.050804789238043</c:v>
                </c:pt>
                <c:pt idx="607">
                  <c:v>-11.121118443783644</c:v>
                </c:pt>
                <c:pt idx="608">
                  <c:v>-12.111352363093687</c:v>
                </c:pt>
                <c:pt idx="609">
                  <c:v>-13.048986176776367</c:v>
                </c:pt>
                <c:pt idx="610">
                  <c:v>-13.951224471771383</c:v>
                </c:pt>
                <c:pt idx="611">
                  <c:v>-14.828921455799161</c:v>
                </c:pt>
                <c:pt idx="612">
                  <c:v>-15.688951158349767</c:v>
                </c:pt>
                <c:pt idx="613">
                  <c:v>-16.535660922050511</c:v>
                </c:pt>
                <c:pt idx="614">
                  <c:v>-17.37177615975628</c:v>
                </c:pt>
                <c:pt idx="615">
                  <c:v>-18.198971719821998</c:v>
                </c:pt>
                <c:pt idx="616">
                  <c:v>-19.018237670971672</c:v>
                </c:pt>
                <c:pt idx="617">
                  <c:v>-19.830116462422666</c:v>
                </c:pt>
                <c:pt idx="618">
                  <c:v>-20.205598403547498</c:v>
                </c:pt>
                <c:pt idx="619">
                  <c:v>-20.578035983113551</c:v>
                </c:pt>
                <c:pt idx="620">
                  <c:v>-20.947561934033217</c:v>
                </c:pt>
                <c:pt idx="621">
                  <c:v>-21.314294478263633</c:v>
                </c:pt>
                <c:pt idx="622">
                  <c:v>-21.678339038593805</c:v>
                </c:pt>
                <c:pt idx="623">
                  <c:v>-22.039789731438333</c:v>
                </c:pt>
                <c:pt idx="624">
                  <c:v>-22.398730671397885</c:v>
                </c:pt>
                <c:pt idx="625">
                  <c:v>-22.755237113648491</c:v>
                </c:pt>
                <c:pt idx="626">
                  <c:v>-23.109376456292097</c:v>
                </c:pt>
                <c:pt idx="627">
                  <c:v>-23.461209121512837</c:v>
                </c:pt>
                <c:pt idx="628">
                  <c:v>-23.810789331618196</c:v>
                </c:pt>
                <c:pt idx="629">
                  <c:v>-24.158165793718013</c:v>
                </c:pt>
                <c:pt idx="630">
                  <c:v>-24.503382304830751</c:v>
                </c:pt>
                <c:pt idx="631">
                  <c:v>-24.846478287544301</c:v>
                </c:pt>
                <c:pt idx="632">
                  <c:v>-25.187489264951381</c:v>
                </c:pt>
                <c:pt idx="633">
                  <c:v>-25.526447282381014</c:v>
                </c:pt>
                <c:pt idx="634">
                  <c:v>-25.863381282429401</c:v>
                </c:pt>
                <c:pt idx="635">
                  <c:v>-26.198317438923226</c:v>
                </c:pt>
                <c:pt idx="636">
                  <c:v>-26.531279454703991</c:v>
                </c:pt>
                <c:pt idx="637">
                  <c:v>-26.862288827484633</c:v>
                </c:pt>
                <c:pt idx="638">
                  <c:v>-27.191365087483064</c:v>
                </c:pt>
                <c:pt idx="639">
                  <c:v>-27.518526010063482</c:v>
                </c:pt>
                <c:pt idx="640">
                  <c:v>-27.843787806214465</c:v>
                </c:pt>
                <c:pt idx="641">
                  <c:v>-28.167165293337831</c:v>
                </c:pt>
                <c:pt idx="642">
                  <c:v>-28.488672048521693</c:v>
                </c:pt>
                <c:pt idx="643">
                  <c:v>-28.808320546207568</c:v>
                </c:pt>
                <c:pt idx="644">
                  <c:v>-29.126122281931885</c:v>
                </c:pt>
                <c:pt idx="645">
                  <c:v>-29.442087883625277</c:v>
                </c:pt>
                <c:pt idx="646">
                  <c:v>-29.756227211778622</c:v>
                </c:pt>
                <c:pt idx="647">
                  <c:v>-30.068549449634872</c:v>
                </c:pt>
                <c:pt idx="648">
                  <c:v>-30.379063184432681</c:v>
                </c:pt>
                <c:pt idx="649">
                  <c:v>-30.687776480612996</c:v>
                </c:pt>
                <c:pt idx="650">
                  <c:v>-30.994696945798125</c:v>
                </c:pt>
                <c:pt idx="651">
                  <c:v>-31.299831790263994</c:v>
                </c:pt>
                <c:pt idx="652">
                  <c:v>-31.603187880546898</c:v>
                </c:pt>
                <c:pt idx="653">
                  <c:v>-31.904771787759671</c:v>
                </c:pt>
                <c:pt idx="654">
                  <c:v>-32.204589831127663</c:v>
                </c:pt>
                <c:pt idx="655">
                  <c:v>-32.502648117204558</c:v>
                </c:pt>
                <c:pt idx="656">
                  <c:v>-32.798952575178447</c:v>
                </c:pt>
                <c:pt idx="657">
                  <c:v>-33.093508988636728</c:v>
                </c:pt>
                <c:pt idx="658">
                  <c:v>-33.386323024121879</c:v>
                </c:pt>
                <c:pt idx="659">
                  <c:v>-33.677400256776053</c:v>
                </c:pt>
                <c:pt idx="660">
                  <c:v>-33.966746193342487</c:v>
                </c:pt>
                <c:pt idx="661">
                  <c:v>-34.254366292767031</c:v>
                </c:pt>
                <c:pt idx="662">
                  <c:v>-34.540265984618088</c:v>
                </c:pt>
                <c:pt idx="663">
                  <c:v>-34.824450685521896</c:v>
                </c:pt>
                <c:pt idx="664">
                  <c:v>-35.106925813794021</c:v>
                </c:pt>
                <c:pt idx="665">
                  <c:v>-35.387696802427342</c:v>
                </c:pt>
                <c:pt idx="666">
                  <c:v>-35.666769110584426</c:v>
                </c:pt>
                <c:pt idx="667">
                  <c:v>-35.944148233728129</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57.065218524218096</c:v>
                </c:pt>
                <c:pt idx="1">
                  <c:v>51.745598080570446</c:v>
                </c:pt>
                <c:pt idx="2">
                  <c:v>48.366983175899037</c:v>
                </c:pt>
                <c:pt idx="3">
                  <c:v>45.919469558086597</c:v>
                </c:pt>
                <c:pt idx="4">
                  <c:v>44.005202939818645</c:v>
                </c:pt>
                <c:pt idx="5">
                  <c:v>42.434635215364523</c:v>
                </c:pt>
                <c:pt idx="6">
                  <c:v>41.103592254762603</c:v>
                </c:pt>
                <c:pt idx="7">
                  <c:v>39.948884518024592</c:v>
                </c:pt>
                <c:pt idx="8">
                  <c:v>38.929356293931939</c:v>
                </c:pt>
                <c:pt idx="9">
                  <c:v>38.016728460711136</c:v>
                </c:pt>
                <c:pt idx="10">
                  <c:v>32.004230034855901</c:v>
                </c:pt>
                <c:pt idx="11">
                  <c:v>28.483958734030818</c:v>
                </c:pt>
                <c:pt idx="12">
                  <c:v>25.985789357943677</c:v>
                </c:pt>
                <c:pt idx="13">
                  <c:v>24.047936650149872</c:v>
                </c:pt>
                <c:pt idx="14">
                  <c:v>22.464571969739872</c:v>
                </c:pt>
                <c:pt idx="15">
                  <c:v>21.125867530715048</c:v>
                </c:pt>
                <c:pt idx="16">
                  <c:v>19.966255463466137</c:v>
                </c:pt>
                <c:pt idx="17">
                  <c:v>18.943439064497397</c:v>
                </c:pt>
                <c:pt idx="18">
                  <c:v>18.028536620906809</c:v>
                </c:pt>
                <c:pt idx="19">
                  <c:v>12.011523595970118</c:v>
                </c:pt>
                <c:pt idx="20">
                  <c:v>8.4955537174883382</c:v>
                </c:pt>
                <c:pt idx="21">
                  <c:v>6.0049540752199597</c:v>
                </c:pt>
                <c:pt idx="22">
                  <c:v>4.0772490007478019</c:v>
                </c:pt>
                <c:pt idx="23">
                  <c:v>2.5064326072888687</c:v>
                </c:pt>
                <c:pt idx="24">
                  <c:v>1.182608975364942</c:v>
                </c:pt>
                <c:pt idx="25">
                  <c:v>4.0173974772029324E-2</c:v>
                </c:pt>
                <c:pt idx="26">
                  <c:v>-0.96319451331594486</c:v>
                </c:pt>
                <c:pt idx="27">
                  <c:v>-1.8563998907897206</c:v>
                </c:pt>
                <c:pt idx="28">
                  <c:v>-5.2352274884963537</c:v>
                </c:pt>
                <c:pt idx="29">
                  <c:v>-7.5376994041325851</c:v>
                </c:pt>
                <c:pt idx="30">
                  <c:v>-9.2298893130478987</c:v>
                </c:pt>
                <c:pt idx="31">
                  <c:v>-10.52204320635963</c:v>
                </c:pt>
                <c:pt idx="32">
                  <c:v>-11.528723686942557</c:v>
                </c:pt>
                <c:pt idx="33">
                  <c:v>-12.320416277746729</c:v>
                </c:pt>
                <c:pt idx="34">
                  <c:v>-12.944349689391501</c:v>
                </c:pt>
                <c:pt idx="35">
                  <c:v>-13.434202465847665</c:v>
                </c:pt>
                <c:pt idx="36">
                  <c:v>-13.815120653281552</c:v>
                </c:pt>
                <c:pt idx="37">
                  <c:v>-14.106527424294386</c:v>
                </c:pt>
                <c:pt idx="38">
                  <c:v>-14.323803912232467</c:v>
                </c:pt>
                <c:pt idx="39">
                  <c:v>-14.479354230128633</c:v>
                </c:pt>
                <c:pt idx="40">
                  <c:v>-14.58331565221172</c:v>
                </c:pt>
                <c:pt idx="41">
                  <c:v>-14.644054116189189</c:v>
                </c:pt>
                <c:pt idx="42">
                  <c:v>-14.668523799288042</c:v>
                </c:pt>
                <c:pt idx="43">
                  <c:v>-14.662536829761862</c:v>
                </c:pt>
                <c:pt idx="44">
                  <c:v>-14.630971114343536</c:v>
                </c:pt>
                <c:pt idx="45">
                  <c:v>-14.577933925689226</c:v>
                </c:pt>
                <c:pt idx="46">
                  <c:v>-14.506892801261779</c:v>
                </c:pt>
                <c:pt idx="47">
                  <c:v>-14.420781603502828</c:v>
                </c:pt>
                <c:pt idx="48">
                  <c:v>-14.322087270465868</c:v>
                </c:pt>
                <c:pt idx="49">
                  <c:v>-14.212921282235165</c:v>
                </c:pt>
                <c:pt idx="50">
                  <c:v>-14.095078859857392</c:v>
                </c:pt>
                <c:pt idx="51">
                  <c:v>-13.970088213339649</c:v>
                </c:pt>
                <c:pt idx="52">
                  <c:v>-13.839251652905906</c:v>
                </c:pt>
                <c:pt idx="53">
                  <c:v>-13.703680006314276</c:v>
                </c:pt>
                <c:pt idx="54">
                  <c:v>-13.56432150328776</c:v>
                </c:pt>
                <c:pt idx="55">
                  <c:v>-13.421986069761374</c:v>
                </c:pt>
                <c:pt idx="56">
                  <c:v>-13.277365802542571</c:v>
                </c:pt>
                <c:pt idx="57">
                  <c:v>-13.131052257536513</c:v>
                </c:pt>
                <c:pt idx="58">
                  <c:v>-12.983551073828348</c:v>
                </c:pt>
                <c:pt idx="59">
                  <c:v>-12.835294365826915</c:v>
                </c:pt>
                <c:pt idx="60">
                  <c:v>-12.68665124205485</c:v>
                </c:pt>
                <c:pt idx="61">
                  <c:v>-12.537936748749882</c:v>
                </c:pt>
                <c:pt idx="62">
                  <c:v>-12.389419486690731</c:v>
                </c:pt>
                <c:pt idx="63">
                  <c:v>-12.241328108585252</c:v>
                </c:pt>
                <c:pt idx="64">
                  <c:v>-12.0938568703708</c:v>
                </c:pt>
                <c:pt idx="65">
                  <c:v>-11.947170381599946</c:v>
                </c:pt>
                <c:pt idx="66">
                  <c:v>-11.801407676685622</c:v>
                </c:pt>
                <c:pt idx="67">
                  <c:v>-11.656685709316388</c:v>
                </c:pt>
                <c:pt idx="68">
                  <c:v>-11.513102356138003</c:v>
                </c:pt>
                <c:pt idx="69">
                  <c:v>-11.370739002269506</c:v>
                </c:pt>
                <c:pt idx="70">
                  <c:v>-11.229662769917855</c:v>
                </c:pt>
                <c:pt idx="71">
                  <c:v>-11.089928441895236</c:v>
                </c:pt>
                <c:pt idx="72">
                  <c:v>-10.951580123915051</c:v>
                </c:pt>
                <c:pt idx="73">
                  <c:v>-10.814652682886919</c:v>
                </c:pt>
                <c:pt idx="74">
                  <c:v>-10.67917299283674</c:v>
                </c:pt>
                <c:pt idx="75">
                  <c:v>-10.545161015366185</c:v>
                </c:pt>
                <c:pt idx="76">
                  <c:v>-10.412630737593759</c:v>
                </c:pt>
                <c:pt idx="77">
                  <c:v>-10.281590987163536</c:v>
                </c:pt>
                <c:pt idx="78">
                  <c:v>-10.152046141069102</c:v>
                </c:pt>
                <c:pt idx="79">
                  <c:v>-10.02399674263496</c:v>
                </c:pt>
                <c:pt idx="80">
                  <c:v>-9.8974400389563488</c:v>
                </c:pt>
                <c:pt idx="81">
                  <c:v>-9.7723704493637236</c:v>
                </c:pt>
                <c:pt idx="82">
                  <c:v>-9.6487799740009663</c:v>
                </c:pt>
                <c:pt idx="83">
                  <c:v>-9.5266585503475518</c:v>
                </c:pt>
                <c:pt idx="84">
                  <c:v>-9.4059943644393957</c:v>
                </c:pt>
                <c:pt idx="85">
                  <c:v>-9.2867741226239193</c:v>
                </c:pt>
                <c:pt idx="86">
                  <c:v>-9.1689832888969995</c:v>
                </c:pt>
                <c:pt idx="87">
                  <c:v>-9.0526062921945343</c:v>
                </c:pt>
                <c:pt idx="88">
                  <c:v>-8.937626707430617</c:v>
                </c:pt>
                <c:pt idx="89">
                  <c:v>-8.8240274135756902</c:v>
                </c:pt>
                <c:pt idx="90">
                  <c:v>-8.7117907316378744</c:v>
                </c:pt>
                <c:pt idx="91">
                  <c:v>-8.6008985450400584</c:v>
                </c:pt>
                <c:pt idx="92">
                  <c:v>-8.4913324045648189</c:v>
                </c:pt>
                <c:pt idx="93">
                  <c:v>-8.3830736197624596</c:v>
                </c:pt>
                <c:pt idx="94">
                  <c:v>-8.2761033384772826</c:v>
                </c:pt>
                <c:pt idx="95">
                  <c:v>-8.1704026159394463</c:v>
                </c:pt>
                <c:pt idx="96">
                  <c:v>-8.0659524746889062</c:v>
                </c:pt>
                <c:pt idx="97">
                  <c:v>-7.9627339564411059</c:v>
                </c:pt>
                <c:pt idx="98">
                  <c:v>-7.8607281668673874</c:v>
                </c:pt>
                <c:pt idx="99">
                  <c:v>-7.7599163141439043</c:v>
                </c:pt>
                <c:pt idx="100">
                  <c:v>-7.6602797420192701</c:v>
                </c:pt>
                <c:pt idx="101">
                  <c:v>-7.5617999580601882</c:v>
                </c:pt>
                <c:pt idx="102">
                  <c:v>-7.4644586576551983</c:v>
                </c:pt>
                <c:pt idx="103">
                  <c:v>-7.3682377442871658</c:v>
                </c:pt>
                <c:pt idx="104">
                  <c:v>-7.2731193465246129</c:v>
                </c:pt>
                <c:pt idx="105">
                  <c:v>-7.1790858321283855</c:v>
                </c:pt>
                <c:pt idx="106">
                  <c:v>-7.0861198196235842</c:v>
                </c:pt>
                <c:pt idx="107">
                  <c:v>-6.9942041876456003</c:v>
                </c:pt>
                <c:pt idx="108">
                  <c:v>-6.903322082332835</c:v>
                </c:pt>
                <c:pt idx="109">
                  <c:v>-6.8134569230070117</c:v>
                </c:pt>
                <c:pt idx="110">
                  <c:v>-6.7245924063539722</c:v>
                </c:pt>
                <c:pt idx="111">
                  <c:v>-6.6367125092930852</c:v>
                </c:pt>
                <c:pt idx="112">
                  <c:v>-6.5498014907017401</c:v>
                </c:pt>
                <c:pt idx="113">
                  <c:v>-6.4638438921420587</c:v>
                </c:pt>
                <c:pt idx="114">
                  <c:v>-6.3788245377200647</c:v>
                </c:pt>
                <c:pt idx="115">
                  <c:v>-6.294728533192532</c:v>
                </c:pt>
                <c:pt idx="116">
                  <c:v>-6.2115412644233832</c:v>
                </c:pt>
                <c:pt idx="117">
                  <c:v>-6.1292483952798467</c:v>
                </c:pt>
                <c:pt idx="118">
                  <c:v>-6.047835865048123</c:v>
                </c:pt>
                <c:pt idx="119">
                  <c:v>-5.9672898854391008</c:v>
                </c:pt>
                <c:pt idx="120">
                  <c:v>-5.887596937246494</c:v>
                </c:pt>
                <c:pt idx="121">
                  <c:v>-5.8087437667125403</c:v>
                </c:pt>
                <c:pt idx="122">
                  <c:v>-5.7307173816498818</c:v>
                </c:pt>
                <c:pt idx="123">
                  <c:v>-5.6535050473626578</c:v>
                </c:pt>
                <c:pt idx="124">
                  <c:v>-5.5770942824047323</c:v>
                </c:pt>
                <c:pt idx="125">
                  <c:v>-5.5014728542083784</c:v>
                </c:pt>
                <c:pt idx="126">
                  <c:v>-5.4266287746128956</c:v>
                </c:pt>
                <c:pt idx="127">
                  <c:v>-5.3525502953189843</c:v>
                </c:pt>
                <c:pt idx="128">
                  <c:v>-5.2792259032915432</c:v>
                </c:pt>
                <c:pt idx="129">
                  <c:v>-5.2066443161307943</c:v>
                </c:pt>
                <c:pt idx="130">
                  <c:v>-5.1347944774291481</c:v>
                </c:pt>
                <c:pt idx="131">
                  <c:v>-5.0636655521288834</c:v>
                </c:pt>
                <c:pt idx="132">
                  <c:v>-4.9932469218939595</c:v>
                </c:pt>
                <c:pt idx="133">
                  <c:v>-4.923528180507299</c:v>
                </c:pt>
                <c:pt idx="134">
                  <c:v>-4.8544991293034707</c:v>
                </c:pt>
                <c:pt idx="135">
                  <c:v>-4.7861497726453379</c:v>
                </c:pt>
                <c:pt idx="136">
                  <c:v>-4.7184703134517978</c:v>
                </c:pt>
                <c:pt idx="137">
                  <c:v>-4.6514511487829644</c:v>
                </c:pt>
                <c:pt idx="138">
                  <c:v>-4.5850828654879061</c:v>
                </c:pt>
                <c:pt idx="139">
                  <c:v>-4.5193562359193535</c:v>
                </c:pt>
                <c:pt idx="140">
                  <c:v>-4.4542622137189518</c:v>
                </c:pt>
                <c:pt idx="141">
                  <c:v>-4.3897919296760417</c:v>
                </c:pt>
                <c:pt idx="142">
                  <c:v>-4.3259366876622334</c:v>
                </c:pt>
                <c:pt idx="143">
                  <c:v>-4.2626879606436869</c:v>
                </c:pt>
                <c:pt idx="144">
                  <c:v>-4.2000373867723564</c:v>
                </c:pt>
                <c:pt idx="145">
                  <c:v>-4.1379767655572284</c:v>
                </c:pt>
                <c:pt idx="146">
                  <c:v>-4.0764980541160565</c:v>
                </c:pt>
                <c:pt idx="147">
                  <c:v>-4.015593363507997</c:v>
                </c:pt>
                <c:pt idx="148">
                  <c:v>-3.9552549551470251</c:v>
                </c:pt>
                <c:pt idx="149">
                  <c:v>-3.8954752372959378</c:v>
                </c:pt>
                <c:pt idx="150">
                  <c:v>-3.8362467616405471</c:v>
                </c:pt>
                <c:pt idx="151">
                  <c:v>-3.7775622199433871</c:v>
                </c:pt>
                <c:pt idx="152">
                  <c:v>-3.7194144407761422</c:v>
                </c:pt>
                <c:pt idx="153">
                  <c:v>-3.661796386329943</c:v>
                </c:pt>
                <c:pt idx="154">
                  <c:v>-3.604701149302501</c:v>
                </c:pt>
                <c:pt idx="155">
                  <c:v>-3.5481219498608678</c:v>
                </c:pt>
                <c:pt idx="156">
                  <c:v>-3.4920521326787424</c:v>
                </c:pt>
                <c:pt idx="157">
                  <c:v>-3.4364851640469878</c:v>
                </c:pt>
                <c:pt idx="158">
                  <c:v>-3.381414629056045</c:v>
                </c:pt>
                <c:pt idx="159">
                  <c:v>-3.3268342288489086</c:v>
                </c:pt>
                <c:pt idx="160">
                  <c:v>-3.2727377779431732</c:v>
                </c:pt>
                <c:pt idx="161">
                  <c:v>-3.2191192016209103</c:v>
                </c:pt>
                <c:pt idx="162">
                  <c:v>-3.1659725333846884</c:v>
                </c:pt>
                <c:pt idx="163">
                  <c:v>-3.1132919124785201</c:v>
                </c:pt>
                <c:pt idx="164">
                  <c:v>-3.0610715814720875</c:v>
                </c:pt>
                <c:pt idx="165">
                  <c:v>-3.0093058839069342</c:v>
                </c:pt>
                <c:pt idx="166">
                  <c:v>-2.9579892620030441</c:v>
                </c:pt>
                <c:pt idx="167">
                  <c:v>-2.9071162544244666</c:v>
                </c:pt>
                <c:pt idx="168">
                  <c:v>-2.856681494102463</c:v>
                </c:pt>
                <c:pt idx="169">
                  <c:v>-2.8066797061148359</c:v>
                </c:pt>
                <c:pt idx="170">
                  <c:v>-2.7571057056199502</c:v>
                </c:pt>
                <c:pt idx="171">
                  <c:v>-2.7079543958441303</c:v>
                </c:pt>
                <c:pt idx="172">
                  <c:v>-2.659220766121023</c:v>
                </c:pt>
                <c:pt idx="173">
                  <c:v>-2.6108998899816256</c:v>
                </c:pt>
                <c:pt idx="174">
                  <c:v>-2.5629869232935976</c:v>
                </c:pt>
                <c:pt idx="175">
                  <c:v>-2.5154771024486249</c:v>
                </c:pt>
                <c:pt idx="176">
                  <c:v>-2.4683657425965064</c:v>
                </c:pt>
                <c:pt idx="177">
                  <c:v>-2.4216482359247737</c:v>
                </c:pt>
                <c:pt idx="178">
                  <c:v>-2.3753200499826059</c:v>
                </c:pt>
                <c:pt idx="179">
                  <c:v>-2.3293767260477862</c:v>
                </c:pt>
                <c:pt idx="180">
                  <c:v>-2.2838138775356529</c:v>
                </c:pt>
                <c:pt idx="181">
                  <c:v>-2.2386271884488189</c:v>
                </c:pt>
                <c:pt idx="182">
                  <c:v>-2.1938124118665687</c:v>
                </c:pt>
                <c:pt idx="183">
                  <c:v>-2.1493653684728415</c:v>
                </c:pt>
                <c:pt idx="184">
                  <c:v>-2.1052819451217979</c:v>
                </c:pt>
                <c:pt idx="185">
                  <c:v>-2.0615580934398587</c:v>
                </c:pt>
                <c:pt idx="186">
                  <c:v>-2.018189828463242</c:v>
                </c:pt>
                <c:pt idx="187">
                  <c:v>-1.9751732273100902</c:v>
                </c:pt>
                <c:pt idx="188">
                  <c:v>-1.9325044278860781</c:v>
                </c:pt>
                <c:pt idx="189">
                  <c:v>-1.8901796276227589</c:v>
                </c:pt>
                <c:pt idx="190">
                  <c:v>-1.8481950822475899</c:v>
                </c:pt>
                <c:pt idx="191">
                  <c:v>-1.8065471045848653</c:v>
                </c:pt>
                <c:pt idx="192">
                  <c:v>-1.7652320633866279</c:v>
                </c:pt>
                <c:pt idx="193">
                  <c:v>-1.7242463821927978</c:v>
                </c:pt>
                <c:pt idx="194">
                  <c:v>-1.6835865382196546</c:v>
                </c:pt>
                <c:pt idx="195">
                  <c:v>-1.643249061275907</c:v>
                </c:pt>
                <c:pt idx="196">
                  <c:v>-1.603230532705576</c:v>
                </c:pt>
                <c:pt idx="197">
                  <c:v>-1.5635275843570307</c:v>
                </c:pt>
                <c:pt idx="198">
                  <c:v>-1.5241368975772753</c:v>
                </c:pt>
                <c:pt idx="199">
                  <c:v>-1.4850552022310002</c:v>
                </c:pt>
                <c:pt idx="200">
                  <c:v>-1.4462792757435636</c:v>
                </c:pt>
                <c:pt idx="201">
                  <c:v>-1.4078059421673026</c:v>
                </c:pt>
                <c:pt idx="202">
                  <c:v>-1.3696320712705257</c:v>
                </c:pt>
                <c:pt idx="203">
                  <c:v>-1.3317545776485864</c:v>
                </c:pt>
                <c:pt idx="204">
                  <c:v>-1.2941704198563699</c:v>
                </c:pt>
                <c:pt idx="205">
                  <c:v>-1.256876599561666</c:v>
                </c:pt>
                <c:pt idx="206">
                  <c:v>-1.2198701607188189</c:v>
                </c:pt>
                <c:pt idx="207">
                  <c:v>-1.1831481887621593</c:v>
                </c:pt>
                <c:pt idx="208">
                  <c:v>-1.1467078098185601</c:v>
                </c:pt>
                <c:pt idx="209">
                  <c:v>-1.1105461899387374</c:v>
                </c:pt>
                <c:pt idx="210">
                  <c:v>-1.0746605343467082</c:v>
                </c:pt>
                <c:pt idx="211">
                  <c:v>-1.039048086706875</c:v>
                </c:pt>
                <c:pt idx="212">
                  <c:v>-1.0037061284083899</c:v>
                </c:pt>
                <c:pt idx="213">
                  <c:v>-0.96863197786618516</c:v>
                </c:pt>
                <c:pt idx="214">
                  <c:v>-0.93382298983832901</c:v>
                </c:pt>
                <c:pt idx="215">
                  <c:v>-0.89927655475920232</c:v>
                </c:pt>
                <c:pt idx="216">
                  <c:v>-0.8649900980881009</c:v>
                </c:pt>
                <c:pt idx="217">
                  <c:v>-0.83096107967287181</c:v>
                </c:pt>
                <c:pt idx="218">
                  <c:v>-0.79718699312810171</c:v>
                </c:pt>
                <c:pt idx="219">
                  <c:v>-0.76366536522759476</c:v>
                </c:pt>
                <c:pt idx="220">
                  <c:v>-0.73039375531061645</c:v>
                </c:pt>
                <c:pt idx="221">
                  <c:v>-0.69736975470167506</c:v>
                </c:pt>
                <c:pt idx="222">
                  <c:v>-0.66459098614337087</c:v>
                </c:pt>
                <c:pt idx="223">
                  <c:v>-0.63205510324205449</c:v>
                </c:pt>
                <c:pt idx="224">
                  <c:v>-0.59975978992588164</c:v>
                </c:pt>
                <c:pt idx="225">
                  <c:v>-0.56770275991502794</c:v>
                </c:pt>
                <c:pt idx="226">
                  <c:v>-0.25975535772695629</c:v>
                </c:pt>
                <c:pt idx="227">
                  <c:v>2.6675978622440207E-2</c:v>
                </c:pt>
                <c:pt idx="228">
                  <c:v>0.2934574244536774</c:v>
                </c:pt>
                <c:pt idx="229">
                  <c:v>0.54224759611849582</c:v>
                </c:pt>
                <c:pt idx="230">
                  <c:v>0.77452731950403431</c:v>
                </c:pt>
                <c:pt idx="231">
                  <c:v>0.991624056724556</c:v>
                </c:pt>
                <c:pt idx="232">
                  <c:v>1.1947321178716617</c:v>
                </c:pt>
                <c:pt idx="233">
                  <c:v>1.3849295204315548</c:v>
                </c:pt>
                <c:pt idx="234">
                  <c:v>1.5631921613016995</c:v>
                </c:pt>
                <c:pt idx="235">
                  <c:v>1.7304058175538071</c:v>
                </c:pt>
                <c:pt idx="236">
                  <c:v>1.8873763793953975</c:v>
                </c:pt>
                <c:pt idx="237">
                  <c:v>2.0348386328853865</c:v>
                </c:pt>
                <c:pt idx="238">
                  <c:v>2.1734638440780332</c:v>
                </c:pt>
                <c:pt idx="239">
                  <c:v>2.3038663454309476</c:v>
                </c:pt>
                <c:pt idx="240">
                  <c:v>2.4266092858428228</c:v>
                </c:pt>
                <c:pt idx="241">
                  <c:v>2.5422096748595036</c:v>
                </c:pt>
                <c:pt idx="242">
                  <c:v>2.6511428273674436</c:v>
                </c:pt>
                <c:pt idx="243">
                  <c:v>2.7538462959507588</c:v>
                </c:pt>
                <c:pt idx="244">
                  <c:v>2.8507233628693314</c:v>
                </c:pt>
                <c:pt idx="245">
                  <c:v>2.9421461514426945</c:v>
                </c:pt>
                <c:pt idx="246">
                  <c:v>3.02845840683025</c:v>
                </c:pt>
                <c:pt idx="247">
                  <c:v>3.1099779882698768</c:v>
                </c:pt>
                <c:pt idx="248">
                  <c:v>3.1869991083800011</c:v>
                </c:pt>
                <c:pt idx="249">
                  <c:v>3.2597943498393662</c:v>
                </c:pt>
                <c:pt idx="250">
                  <c:v>3.3286164853971445</c:v>
                </c:pt>
                <c:pt idx="251">
                  <c:v>3.3937001235487601</c:v>
                </c:pt>
                <c:pt idx="252">
                  <c:v>3.4552631991950431</c:v>
                </c:pt>
                <c:pt idx="253">
                  <c:v>3.5135083260695992</c:v>
                </c:pt>
                <c:pt idx="254">
                  <c:v>3.5686240255820811</c:v>
                </c:pt>
                <c:pt idx="255">
                  <c:v>3.6207858449109893</c:v>
                </c:pt>
                <c:pt idx="256">
                  <c:v>3.670157375632348</c:v>
                </c:pt>
                <c:pt idx="257">
                  <c:v>3.7168911828434141</c:v>
                </c:pt>
                <c:pt idx="258">
                  <c:v>3.7611296535975565</c:v>
                </c:pt>
                <c:pt idx="259">
                  <c:v>3.8030057724765873</c:v>
                </c:pt>
                <c:pt idx="260">
                  <c:v>3.8426438312670745</c:v>
                </c:pt>
                <c:pt idx="261">
                  <c:v>3.880160078956095</c:v>
                </c:pt>
                <c:pt idx="262">
                  <c:v>3.9156633176049214</c:v>
                </c:pt>
                <c:pt idx="263">
                  <c:v>3.9492554490809346</c:v>
                </c:pt>
                <c:pt idx="264">
                  <c:v>3.9810319771187364</c:v>
                </c:pt>
                <c:pt idx="265">
                  <c:v>4.0110824687309901</c:v>
                </c:pt>
                <c:pt idx="266">
                  <c:v>4.0394909785900275</c:v>
                </c:pt>
                <c:pt idx="267">
                  <c:v>4.0663364396462915</c:v>
                </c:pt>
                <c:pt idx="268">
                  <c:v>4.0916930229335797</c:v>
                </c:pt>
                <c:pt idx="269">
                  <c:v>4.1156304692285355</c:v>
                </c:pt>
                <c:pt idx="270">
                  <c:v>4.1382143949797836</c:v>
                </c:pt>
                <c:pt idx="271">
                  <c:v>4.1595065746954791</c:v>
                </c:pt>
                <c:pt idx="272">
                  <c:v>4.1795652017756648</c:v>
                </c:pt>
                <c:pt idx="273">
                  <c:v>4.1984451295928338</c:v>
                </c:pt>
                <c:pt idx="274">
                  <c:v>4.2161980944605721</c:v>
                </c:pt>
                <c:pt idx="275">
                  <c:v>4.2328729219818602</c:v>
                </c:pt>
                <c:pt idx="276">
                  <c:v>4.2485157181354829</c:v>
                </c:pt>
                <c:pt idx="277">
                  <c:v>4.2631700463382796</c:v>
                </c:pt>
                <c:pt idx="278">
                  <c:v>4.2768770916122838</c:v>
                </c:pt>
                <c:pt idx="279">
                  <c:v>4.2896758128870811</c:v>
                </c:pt>
                <c:pt idx="280">
                  <c:v>4.3016030843784741</c:v>
                </c:pt>
                <c:pt idx="281">
                  <c:v>4.3126938269036401</c:v>
                </c:pt>
                <c:pt idx="282">
                  <c:v>4.3229811299194347</c:v>
                </c:pt>
                <c:pt idx="283">
                  <c:v>4.332496365003883</c:v>
                </c:pt>
                <c:pt idx="284">
                  <c:v>4.341269291440323</c:v>
                </c:pt>
                <c:pt idx="285">
                  <c:v>4.3493281545083597</c:v>
                </c:pt>
                <c:pt idx="286">
                  <c:v>4.3566997770358391</c:v>
                </c:pt>
                <c:pt idx="287">
                  <c:v>4.3634096447202531</c:v>
                </c:pt>
                <c:pt idx="288">
                  <c:v>4.3694819856863267</c:v>
                </c:pt>
                <c:pt idx="289">
                  <c:v>4.3749398447086492</c:v>
                </c:pt>
                <c:pt idx="290">
                  <c:v>4.3798051524934465</c:v>
                </c:pt>
                <c:pt idx="291">
                  <c:v>4.3840987903820627</c:v>
                </c:pt>
                <c:pt idx="292">
                  <c:v>4.3878406508097303</c:v>
                </c:pt>
                <c:pt idx="293">
                  <c:v>4.3910496938268109</c:v>
                </c:pt>
                <c:pt idx="294">
                  <c:v>4.3937439999654782</c:v>
                </c:pt>
                <c:pt idx="295">
                  <c:v>4.3959408197127239</c:v>
                </c:pt>
                <c:pt idx="296">
                  <c:v>4.3976566198303093</c:v>
                </c:pt>
                <c:pt idx="297">
                  <c:v>4.3989071267436106</c:v>
                </c:pt>
                <c:pt idx="298">
                  <c:v>4.399707367204412</c:v>
                </c:pt>
                <c:pt idx="299">
                  <c:v>4.4000717064169761</c:v>
                </c:pt>
                <c:pt idx="300">
                  <c:v>4.4000138838024565</c:v>
                </c:pt>
                <c:pt idx="301">
                  <c:v>4.3995470465634563</c:v>
                </c:pt>
                <c:pt idx="302">
                  <c:v>4.3986837811985771</c:v>
                </c:pt>
                <c:pt idx="303">
                  <c:v>4.3974361431054874</c:v>
                </c:pt>
                <c:pt idx="304">
                  <c:v>4.3958156844009828</c:v>
                </c:pt>
                <c:pt idx="305">
                  <c:v>4.3938334800770154</c:v>
                </c:pt>
                <c:pt idx="306">
                  <c:v>4.3915001526029416</c:v>
                </c:pt>
                <c:pt idx="307">
                  <c:v>4.3888258950763985</c:v>
                </c:pt>
                <c:pt idx="308">
                  <c:v>4.3858204930176976</c:v>
                </c:pt>
                <c:pt idx="309">
                  <c:v>4.3824933448958872</c:v>
                </c:pt>
                <c:pt idx="310">
                  <c:v>4.3788534814684938</c:v>
                </c:pt>
                <c:pt idx="311">
                  <c:v>4.3749095840108598</c:v>
                </c:pt>
                <c:pt idx="312">
                  <c:v>4.3706700015060722</c:v>
                </c:pt>
                <c:pt idx="313">
                  <c:v>4.3661427668611319</c:v>
                </c:pt>
                <c:pt idx="314">
                  <c:v>4.361335612210743</c:v>
                </c:pt>
                <c:pt idx="315">
                  <c:v>4.3562559833657257</c:v>
                </c:pt>
                <c:pt idx="316">
                  <c:v>4.3509110534591811</c:v>
                </c:pt>
                <c:pt idx="317">
                  <c:v>4.3453077358399934</c:v>
                </c:pt>
                <c:pt idx="318">
                  <c:v>4.3394526962597855</c:v>
                </c:pt>
                <c:pt idx="319">
                  <c:v>4.3333523643964282</c:v>
                </c:pt>
                <c:pt idx="320">
                  <c:v>4.3270129447542658</c:v>
                </c:pt>
                <c:pt idx="321">
                  <c:v>4.320440426978652</c:v>
                </c:pt>
                <c:pt idx="322">
                  <c:v>4.3136405956197663</c:v>
                </c:pt>
                <c:pt idx="323">
                  <c:v>4.306619039378492</c:v>
                </c:pt>
                <c:pt idx="324">
                  <c:v>4.2993811598649909</c:v>
                </c:pt>
                <c:pt idx="325">
                  <c:v>4.291932179898553</c:v>
                </c:pt>
                <c:pt idx="326">
                  <c:v>4.2842771513755551</c:v>
                </c:pt>
                <c:pt idx="327">
                  <c:v>4.2764209627305467</c:v>
                </c:pt>
                <c:pt idx="328">
                  <c:v>4.2683683460139941</c:v>
                </c:pt>
                <c:pt idx="329">
                  <c:v>4.2601238836086059</c:v>
                </c:pt>
                <c:pt idx="330">
                  <c:v>4.2516920146048776</c:v>
                </c:pt>
                <c:pt idx="331">
                  <c:v>4.2430770408551721</c:v>
                </c:pt>
                <c:pt idx="332">
                  <c:v>4.2342831327244319</c:v>
                </c:pt>
                <c:pt idx="333">
                  <c:v>4.2253143345545086</c:v>
                </c:pt>
                <c:pt idx="334">
                  <c:v>4.216174569858099</c:v>
                </c:pt>
                <c:pt idx="335">
                  <c:v>4.2068676462572094</c:v>
                </c:pt>
                <c:pt idx="336">
                  <c:v>4.197397260180205</c:v>
                </c:pt>
                <c:pt idx="337">
                  <c:v>4.1877670013307462</c:v>
                </c:pt>
                <c:pt idx="338">
                  <c:v>4.1779803569409317</c:v>
                </c:pt>
                <c:pt idx="339">
                  <c:v>4.168040715820359</c:v>
                </c:pt>
                <c:pt idx="340">
                  <c:v>4.1579513722120911</c:v>
                </c:pt>
                <c:pt idx="341">
                  <c:v>4.147715529465855</c:v>
                </c:pt>
                <c:pt idx="342">
                  <c:v>4.137336303538242</c:v>
                </c:pt>
                <c:pt idx="343">
                  <c:v>4.1268167263289692</c:v>
                </c:pt>
                <c:pt idx="344">
                  <c:v>4.1161597488619277</c:v>
                </c:pt>
                <c:pt idx="345">
                  <c:v>4.1053682443191244</c:v>
                </c:pt>
                <c:pt idx="346">
                  <c:v>4.0944450109350905</c:v>
                </c:pt>
                <c:pt idx="347">
                  <c:v>4.0833927747591483</c:v>
                </c:pt>
                <c:pt idx="348">
                  <c:v>4.0722141922921526</c:v>
                </c:pt>
                <c:pt idx="349">
                  <c:v>4.0609118530042965</c:v>
                </c:pt>
                <c:pt idx="350">
                  <c:v>4.0494882817399596</c:v>
                </c:pt>
                <c:pt idx="351">
                  <c:v>4.0379459410153382</c:v>
                </c:pt>
                <c:pt idx="352">
                  <c:v>4.0262872332142789</c:v>
                </c:pt>
                <c:pt idx="353">
                  <c:v>4.0145145026874154</c:v>
                </c:pt>
                <c:pt idx="354">
                  <c:v>4.0026300377594417</c:v>
                </c:pt>
                <c:pt idx="355">
                  <c:v>3.9906360726490782</c:v>
                </c:pt>
                <c:pt idx="356">
                  <c:v>3.9785347893060097</c:v>
                </c:pt>
                <c:pt idx="357">
                  <c:v>3.9663283191689653</c:v>
                </c:pt>
                <c:pt idx="358">
                  <c:v>3.9540187448486948</c:v>
                </c:pt>
                <c:pt idx="359">
                  <c:v>3.9416081017395816</c:v>
                </c:pt>
                <c:pt idx="360">
                  <c:v>3.9290983795632135</c:v>
                </c:pt>
                <c:pt idx="361">
                  <c:v>3.9164915238474558</c:v>
                </c:pt>
                <c:pt idx="362">
                  <c:v>3.9037894373437476</c:v>
                </c:pt>
                <c:pt idx="363">
                  <c:v>3.8909939813859018</c:v>
                </c:pt>
                <c:pt idx="364">
                  <c:v>3.8781069771929837</c:v>
                </c:pt>
                <c:pt idx="365">
                  <c:v>3.8651302071189875</c:v>
                </c:pt>
                <c:pt idx="366">
                  <c:v>3.8520654158517909</c:v>
                </c:pt>
                <c:pt idx="367">
                  <c:v>3.83891431156378</c:v>
                </c:pt>
                <c:pt idx="368">
                  <c:v>3.8256785670163551</c:v>
                </c:pt>
                <c:pt idx="369">
                  <c:v>3.8123598206204878</c:v>
                </c:pt>
                <c:pt idx="370">
                  <c:v>3.7989596774553345</c:v>
                </c:pt>
                <c:pt idx="371">
                  <c:v>3.7854797102468503</c:v>
                </c:pt>
                <c:pt idx="372">
                  <c:v>3.7719214603082056</c:v>
                </c:pt>
                <c:pt idx="373">
                  <c:v>3.7582864384437453</c:v>
                </c:pt>
                <c:pt idx="374">
                  <c:v>3.7445761258181842</c:v>
                </c:pt>
                <c:pt idx="375">
                  <c:v>3.730791974792496</c:v>
                </c:pt>
                <c:pt idx="376">
                  <c:v>3.7169354097281122</c:v>
                </c:pt>
                <c:pt idx="377">
                  <c:v>3.7030078277607688</c:v>
                </c:pt>
                <c:pt idx="378">
                  <c:v>3.6890105995453526</c:v>
                </c:pt>
                <c:pt idx="379">
                  <c:v>3.6749450699730506</c:v>
                </c:pt>
                <c:pt idx="380">
                  <c:v>3.660812558862018</c:v>
                </c:pt>
                <c:pt idx="381">
                  <c:v>3.6466143616226669</c:v>
                </c:pt>
                <c:pt idx="382">
                  <c:v>3.6323517498987927</c:v>
                </c:pt>
                <c:pt idx="383">
                  <c:v>3.6180259721854489</c:v>
                </c:pt>
                <c:pt idx="384">
                  <c:v>3.603638254424709</c:v>
                </c:pt>
                <c:pt idx="385">
                  <c:v>3.5891898005801282</c:v>
                </c:pt>
                <c:pt idx="386">
                  <c:v>3.5746817931909525</c:v>
                </c:pt>
                <c:pt idx="387">
                  <c:v>3.5601153939067887</c:v>
                </c:pt>
                <c:pt idx="388">
                  <c:v>3.5454917440037108</c:v>
                </c:pt>
                <c:pt idx="389">
                  <c:v>3.5308119648824881</c:v>
                </c:pt>
                <c:pt idx="390">
                  <c:v>3.5160771585496722</c:v>
                </c:pt>
                <c:pt idx="391">
                  <c:v>3.5012884080823508</c:v>
                </c:pt>
                <c:pt idx="392">
                  <c:v>3.4864467780771502</c:v>
                </c:pt>
                <c:pt idx="393">
                  <c:v>3.4715533150841886</c:v>
                </c:pt>
                <c:pt idx="394">
                  <c:v>3.4566090480265959</c:v>
                </c:pt>
                <c:pt idx="395">
                  <c:v>3.4416149886061618</c:v>
                </c:pt>
                <c:pt idx="396">
                  <c:v>3.4265721316956887</c:v>
                </c:pt>
                <c:pt idx="397">
                  <c:v>3.4114814557186284</c:v>
                </c:pt>
                <c:pt idx="398">
                  <c:v>3.39634392301646</c:v>
                </c:pt>
                <c:pt idx="399">
                  <c:v>3.3811604802042874</c:v>
                </c:pt>
                <c:pt idx="400">
                  <c:v>3.3659320585152432</c:v>
                </c:pt>
                <c:pt idx="401">
                  <c:v>3.3506595741339575</c:v>
                </c:pt>
                <c:pt idx="402">
                  <c:v>3.3353439285197255</c:v>
                </c:pt>
                <c:pt idx="403">
                  <c:v>3.3199860087195936</c:v>
                </c:pt>
                <c:pt idx="404">
                  <c:v>3.3045866876719026</c:v>
                </c:pt>
                <c:pt idx="405">
                  <c:v>3.2891468245005728</c:v>
                </c:pt>
                <c:pt idx="406">
                  <c:v>3.2736672648005256</c:v>
                </c:pt>
                <c:pt idx="407">
                  <c:v>3.2581488409145747</c:v>
                </c:pt>
                <c:pt idx="408">
                  <c:v>3.2425923722020897</c:v>
                </c:pt>
                <c:pt idx="409">
                  <c:v>3.2269986652998228</c:v>
                </c:pt>
                <c:pt idx="410">
                  <c:v>3.211368514375077</c:v>
                </c:pt>
                <c:pt idx="411">
                  <c:v>3.1957027013716148</c:v>
                </c:pt>
                <c:pt idx="412">
                  <c:v>3.1800019962485009</c:v>
                </c:pt>
                <c:pt idx="413">
                  <c:v>3.1642671572122119</c:v>
                </c:pt>
                <c:pt idx="414">
                  <c:v>3.1484989309421825</c:v>
                </c:pt>
                <c:pt idx="415">
                  <c:v>3.1326980528101087</c:v>
                </c:pt>
                <c:pt idx="416">
                  <c:v>3.1168652470931759</c:v>
                </c:pt>
                <c:pt idx="417">
                  <c:v>3.1010012271814724</c:v>
                </c:pt>
                <c:pt idx="418">
                  <c:v>3.085106695779785</c:v>
                </c:pt>
                <c:pt idx="419">
                  <c:v>3.0691823451039646</c:v>
                </c:pt>
                <c:pt idx="420">
                  <c:v>3.0532288570720896</c:v>
                </c:pt>
                <c:pt idx="421">
                  <c:v>3.037246903490586</c:v>
                </c:pt>
                <c:pt idx="422">
                  <c:v>3.0212371462354799</c:v>
                </c:pt>
                <c:pt idx="423">
                  <c:v>3.0052002374289764</c:v>
                </c:pt>
                <c:pt idx="424">
                  <c:v>2.9891368196115264</c:v>
                </c:pt>
                <c:pt idx="425">
                  <c:v>2.9730475259094802</c:v>
                </c:pt>
                <c:pt idx="426">
                  <c:v>2.9569329801985904</c:v>
                </c:pt>
                <c:pt idx="427">
                  <c:v>2.9407937972634119</c:v>
                </c:pt>
                <c:pt idx="428">
                  <c:v>2.924630582952743</c:v>
                </c:pt>
                <c:pt idx="429">
                  <c:v>2.908443934331336</c:v>
                </c:pt>
                <c:pt idx="430">
                  <c:v>2.892234439827873</c:v>
                </c:pt>
                <c:pt idx="431">
                  <c:v>2.8760026793794431</c:v>
                </c:pt>
                <c:pt idx="432">
                  <c:v>2.8597492245725356</c:v>
                </c:pt>
                <c:pt idx="433">
                  <c:v>2.8434746387807701</c:v>
                </c:pt>
                <c:pt idx="434">
                  <c:v>2.8271794772994028</c:v>
                </c:pt>
                <c:pt idx="435">
                  <c:v>2.8108642874767127</c:v>
                </c:pt>
                <c:pt idx="436">
                  <c:v>2.7945296088423834</c:v>
                </c:pt>
                <c:pt idx="437">
                  <c:v>2.7781759732330213</c:v>
                </c:pt>
                <c:pt idx="438">
                  <c:v>2.7618039049147964</c:v>
                </c:pt>
                <c:pt idx="439">
                  <c:v>2.7454139207034101</c:v>
                </c:pt>
                <c:pt idx="440">
                  <c:v>2.7290065300813988</c:v>
                </c:pt>
                <c:pt idx="441">
                  <c:v>2.7125822353128743</c:v>
                </c:pt>
                <c:pt idx="442">
                  <c:v>2.6961415315558215</c:v>
                </c:pt>
                <c:pt idx="443">
                  <c:v>2.6796849069719322</c:v>
                </c:pt>
                <c:pt idx="444">
                  <c:v>2.6632128428341972</c:v>
                </c:pt>
                <c:pt idx="445">
                  <c:v>2.6467258136321412</c:v>
                </c:pt>
                <c:pt idx="446">
                  <c:v>2.6302242871749506</c:v>
                </c:pt>
                <c:pt idx="447">
                  <c:v>2.6137087246924269</c:v>
                </c:pt>
                <c:pt idx="448">
                  <c:v>2.5971795809338998</c:v>
                </c:pt>
                <c:pt idx="449">
                  <c:v>2.5806373042651276</c:v>
                </c:pt>
                <c:pt idx="450">
                  <c:v>2.5640823367632604</c:v>
                </c:pt>
                <c:pt idx="451">
                  <c:v>2.5475151143099293</c:v>
                </c:pt>
                <c:pt idx="452">
                  <c:v>2.5309360666824627</c:v>
                </c:pt>
                <c:pt idx="453">
                  <c:v>2.5143456176433547</c:v>
                </c:pt>
                <c:pt idx="454">
                  <c:v>2.4977441850280115</c:v>
                </c:pt>
                <c:pt idx="455">
                  <c:v>2.4811321808307754</c:v>
                </c:pt>
                <c:pt idx="456">
                  <c:v>2.4645100112893474</c:v>
                </c:pt>
                <c:pt idx="457">
                  <c:v>2.4478780769675947</c:v>
                </c:pt>
                <c:pt idx="458">
                  <c:v>2.4312367728368467</c:v>
                </c:pt>
                <c:pt idx="459">
                  <c:v>2.4145864883556318</c:v>
                </c:pt>
                <c:pt idx="460">
                  <c:v>2.3979276075479952</c:v>
                </c:pt>
                <c:pt idx="461">
                  <c:v>2.3812605090803722</c:v>
                </c:pt>
                <c:pt idx="462">
                  <c:v>2.3645855663370732</c:v>
                </c:pt>
                <c:pt idx="463">
                  <c:v>2.3479031474944008</c:v>
                </c:pt>
                <c:pt idx="464">
                  <c:v>2.3312136155934882</c:v>
                </c:pt>
                <c:pt idx="465">
                  <c:v>2.3145173286118026</c:v>
                </c:pt>
                <c:pt idx="466">
                  <c:v>2.2978146395334402</c:v>
                </c:pt>
                <c:pt idx="467">
                  <c:v>2.2811058964181949</c:v>
                </c:pt>
                <c:pt idx="468">
                  <c:v>2.2643914424694014</c:v>
                </c:pt>
                <c:pt idx="469">
                  <c:v>2.2476716161006687</c:v>
                </c:pt>
                <c:pt idx="470">
                  <c:v>2.2309467510014387</c:v>
                </c:pt>
                <c:pt idx="471">
                  <c:v>2.2142171762014744</c:v>
                </c:pt>
                <c:pt idx="472">
                  <c:v>2.197483216134251</c:v>
                </c:pt>
                <c:pt idx="473">
                  <c:v>2.1807451906993007</c:v>
                </c:pt>
                <c:pt idx="474">
                  <c:v>2.1640034153235281</c:v>
                </c:pt>
                <c:pt idx="475">
                  <c:v>2.1472582010215251</c:v>
                </c:pt>
                <c:pt idx="476">
                  <c:v>2.1305098544549166</c:v>
                </c:pt>
                <c:pt idx="477">
                  <c:v>2.1137586779907203</c:v>
                </c:pt>
                <c:pt idx="478">
                  <c:v>2.0970049697588151</c:v>
                </c:pt>
                <c:pt idx="479">
                  <c:v>2.0802490237084403</c:v>
                </c:pt>
                <c:pt idx="480">
                  <c:v>2.063491129663853</c:v>
                </c:pt>
                <c:pt idx="481">
                  <c:v>2.0467315733790938</c:v>
                </c:pt>
                <c:pt idx="482">
                  <c:v>2.0299706365918562</c:v>
                </c:pt>
                <c:pt idx="483">
                  <c:v>2.013208597076606</c:v>
                </c:pt>
                <c:pt idx="484">
                  <c:v>1.9964457286968171</c:v>
                </c:pt>
                <c:pt idx="485">
                  <c:v>1.9796823014564096</c:v>
                </c:pt>
                <c:pt idx="486">
                  <c:v>1.962918581550428</c:v>
                </c:pt>
                <c:pt idx="487">
                  <c:v>1.9461548314149535</c:v>
                </c:pt>
                <c:pt idx="488">
                  <c:v>1.9293913097762447</c:v>
                </c:pt>
                <c:pt idx="489">
                  <c:v>1.9126282716991536</c:v>
                </c:pt>
                <c:pt idx="490">
                  <c:v>1.8958659686348209</c:v>
                </c:pt>
                <c:pt idx="491">
                  <c:v>1.879104648467675</c:v>
                </c:pt>
                <c:pt idx="492">
                  <c:v>1.8623445555617089</c:v>
                </c:pt>
                <c:pt idx="493">
                  <c:v>1.8455859308061067</c:v>
                </c:pt>
                <c:pt idx="494">
                  <c:v>1.8288290116602277</c:v>
                </c:pt>
                <c:pt idx="495">
                  <c:v>1.8120740321978501</c:v>
                </c:pt>
                <c:pt idx="496">
                  <c:v>1.7953212231508953</c:v>
                </c:pt>
                <c:pt idx="497">
                  <c:v>1.7785708119524135</c:v>
                </c:pt>
                <c:pt idx="498">
                  <c:v>1.7618230227790421</c:v>
                </c:pt>
                <c:pt idx="499">
                  <c:v>1.7450780765928138</c:v>
                </c:pt>
                <c:pt idx="500">
                  <c:v>1.7283361911823651</c:v>
                </c:pt>
                <c:pt idx="501">
                  <c:v>1.7115975812036113</c:v>
                </c:pt>
                <c:pt idx="502">
                  <c:v>1.6948624582197955</c:v>
                </c:pt>
                <c:pt idx="503">
                  <c:v>1.6781310307410218</c:v>
                </c:pt>
                <c:pt idx="504">
                  <c:v>1.6614035042632227</c:v>
                </c:pt>
                <c:pt idx="505">
                  <c:v>1.6446800813065507</c:v>
                </c:pt>
                <c:pt idx="506">
                  <c:v>1.627960961453333</c:v>
                </c:pt>
                <c:pt idx="507">
                  <c:v>1.6112463413853892</c:v>
                </c:pt>
                <c:pt idx="508">
                  <c:v>1.5945364149209176</c:v>
                </c:pt>
                <c:pt idx="509">
                  <c:v>1.5778313730508622</c:v>
                </c:pt>
                <c:pt idx="510">
                  <c:v>1.5611314039747737</c:v>
                </c:pt>
                <c:pt idx="511">
                  <c:v>1.5444366931361722</c:v>
                </c:pt>
                <c:pt idx="512">
                  <c:v>1.5277474232574688</c:v>
                </c:pt>
                <c:pt idx="513">
                  <c:v>1.5110637743744029</c:v>
                </c:pt>
                <c:pt idx="514">
                  <c:v>1.4943859238699762</c:v>
                </c:pt>
                <c:pt idx="515">
                  <c:v>1.4777140465080203</c:v>
                </c:pt>
                <c:pt idx="516">
                  <c:v>1.4610483144662316</c:v>
                </c:pt>
                <c:pt idx="517">
                  <c:v>1.4443888973688159</c:v>
                </c:pt>
                <c:pt idx="518">
                  <c:v>1.4277359623186912</c:v>
                </c:pt>
                <c:pt idx="519">
                  <c:v>1.4110896739292462</c:v>
                </c:pt>
                <c:pt idx="520">
                  <c:v>1.3944501943557115</c:v>
                </c:pt>
                <c:pt idx="521">
                  <c:v>1.3778176833261038</c:v>
                </c:pt>
                <c:pt idx="522">
                  <c:v>1.361192298171757</c:v>
                </c:pt>
                <c:pt idx="523">
                  <c:v>1.3445741938574642</c:v>
                </c:pt>
                <c:pt idx="524">
                  <c:v>1.3279635230112377</c:v>
                </c:pt>
                <c:pt idx="525">
                  <c:v>1.3113604359536526</c:v>
                </c:pt>
                <c:pt idx="526">
                  <c:v>1.2947650807268443</c:v>
                </c:pt>
                <c:pt idx="527">
                  <c:v>1.2781776031231007</c:v>
                </c:pt>
                <c:pt idx="528">
                  <c:v>1.2615981467131177</c:v>
                </c:pt>
                <c:pt idx="529">
                  <c:v>1.2450268528738544</c:v>
                </c:pt>
                <c:pt idx="530">
                  <c:v>1.2284638608160652</c:v>
                </c:pt>
                <c:pt idx="531">
                  <c:v>1.2119093076114607</c:v>
                </c:pt>
                <c:pt idx="532">
                  <c:v>1.1953633282195169</c:v>
                </c:pt>
                <c:pt idx="533">
                  <c:v>1.1788260555139605</c:v>
                </c:pt>
                <c:pt idx="534">
                  <c:v>1.1622976203088922</c:v>
                </c:pt>
                <c:pt idx="535">
                  <c:v>1.1457781513846179</c:v>
                </c:pt>
                <c:pt idx="536">
                  <c:v>1.1292677755131011</c:v>
                </c:pt>
                <c:pt idx="537">
                  <c:v>1.1127666174831221</c:v>
                </c:pt>
                <c:pt idx="538">
                  <c:v>1.0962748001251386</c:v>
                </c:pt>
                <c:pt idx="539">
                  <c:v>1.0797924443357807</c:v>
                </c:pt>
                <c:pt idx="540">
                  <c:v>1.0633196691020781</c:v>
                </c:pt>
                <c:pt idx="541">
                  <c:v>1.0468565915253814</c:v>
                </c:pt>
                <c:pt idx="542">
                  <c:v>1.0304033268449622</c:v>
                </c:pt>
                <c:pt idx="543">
                  <c:v>1.0139599884613242</c:v>
                </c:pt>
                <c:pt idx="544">
                  <c:v>0.99752668795923749</c:v>
                </c:pt>
                <c:pt idx="545">
                  <c:v>0.98110353513045767</c:v>
                </c:pt>
                <c:pt idx="546">
                  <c:v>0.96469063799619392</c:v>
                </c:pt>
                <c:pt idx="547">
                  <c:v>0.94828810282927911</c:v>
                </c:pt>
                <c:pt idx="548">
                  <c:v>0.93189603417604872</c:v>
                </c:pt>
                <c:pt idx="549">
                  <c:v>0.9155145348779864</c:v>
                </c:pt>
                <c:pt idx="550">
                  <c:v>0.8991437060930495</c:v>
                </c:pt>
                <c:pt idx="551">
                  <c:v>0.88278364731679659</c:v>
                </c:pt>
                <c:pt idx="552">
                  <c:v>0.8664344564031834</c:v>
                </c:pt>
                <c:pt idx="553">
                  <c:v>0.85009622958515707</c:v>
                </c:pt>
                <c:pt idx="554">
                  <c:v>0.83376906149495011</c:v>
                </c:pt>
                <c:pt idx="555">
                  <c:v>0.81745304518416662</c:v>
                </c:pt>
                <c:pt idx="556">
                  <c:v>0.80114827214358741</c:v>
                </c:pt>
                <c:pt idx="557">
                  <c:v>0.78485483232275721</c:v>
                </c:pt>
                <c:pt idx="558">
                  <c:v>0.76857281414930212</c:v>
                </c:pt>
                <c:pt idx="559">
                  <c:v>0.75230230454802527</c:v>
                </c:pt>
                <c:pt idx="560">
                  <c:v>0.73604338895979293</c:v>
                </c:pt>
                <c:pt idx="561">
                  <c:v>0.71979615136012598</c:v>
                </c:pt>
                <c:pt idx="562">
                  <c:v>0.70356067427763624</c:v>
                </c:pt>
                <c:pt idx="563">
                  <c:v>0.68733703881217079</c:v>
                </c:pt>
                <c:pt idx="564">
                  <c:v>0.67112532465278285</c:v>
                </c:pt>
                <c:pt idx="565">
                  <c:v>0.65492561009546424</c:v>
                </c:pt>
                <c:pt idx="566">
                  <c:v>0.63873797206065541</c:v>
                </c:pt>
                <c:pt idx="567">
                  <c:v>0.62256248611054377</c:v>
                </c:pt>
                <c:pt idx="568">
                  <c:v>0.60639922646616085</c:v>
                </c:pt>
                <c:pt idx="569">
                  <c:v>0.59024826602427161</c:v>
                </c:pt>
                <c:pt idx="570">
                  <c:v>0.57410967637402888</c:v>
                </c:pt>
                <c:pt idx="571">
                  <c:v>0.55798352781346583</c:v>
                </c:pt>
                <c:pt idx="572">
                  <c:v>0.54186988936576752</c:v>
                </c:pt>
                <c:pt idx="573">
                  <c:v>0.52576882879532338</c:v>
                </c:pt>
                <c:pt idx="574">
                  <c:v>0.50968041262363895</c:v>
                </c:pt>
                <c:pt idx="575">
                  <c:v>0.49360470614499108</c:v>
                </c:pt>
                <c:pt idx="576">
                  <c:v>0.47754177344194149</c:v>
                </c:pt>
                <c:pt idx="577">
                  <c:v>0.46149167740063607</c:v>
                </c:pt>
                <c:pt idx="578">
                  <c:v>0.44545447972592611</c:v>
                </c:pt>
                <c:pt idx="579">
                  <c:v>0.42943024095631066</c:v>
                </c:pt>
                <c:pt idx="580">
                  <c:v>0.41341902047867907</c:v>
                </c:pt>
                <c:pt idx="581">
                  <c:v>0.39742087654291447</c:v>
                </c:pt>
                <c:pt idx="582">
                  <c:v>0.3814358662762562</c:v>
                </c:pt>
                <c:pt idx="583">
                  <c:v>0.36546404569756169</c:v>
                </c:pt>
                <c:pt idx="584">
                  <c:v>0.34950546973134067</c:v>
                </c:pt>
                <c:pt idx="585">
                  <c:v>0.33356019222164868</c:v>
                </c:pt>
                <c:pt idx="586">
                  <c:v>0.31762826594577792</c:v>
                </c:pt>
                <c:pt idx="587">
                  <c:v>0.3017097426278546</c:v>
                </c:pt>
                <c:pt idx="588">
                  <c:v>0.28580467295217415</c:v>
                </c:pt>
                <c:pt idx="589">
                  <c:v>0.26991310657646067</c:v>
                </c:pt>
                <c:pt idx="590">
                  <c:v>0.25403509214490588</c:v>
                </c:pt>
                <c:pt idx="591">
                  <c:v>0.23817067730109384</c:v>
                </c:pt>
                <c:pt idx="592">
                  <c:v>0.22231990870074619</c:v>
                </c:pt>
                <c:pt idx="593">
                  <c:v>0.20648283202430814</c:v>
                </c:pt>
                <c:pt idx="594">
                  <c:v>0.19065949198940418</c:v>
                </c:pt>
                <c:pt idx="595">
                  <c:v>0.1748499323631347</c:v>
                </c:pt>
                <c:pt idx="596">
                  <c:v>0.1590541959742055</c:v>
                </c:pt>
                <c:pt idx="597">
                  <c:v>0.14327232472494375</c:v>
                </c:pt>
                <c:pt idx="598">
                  <c:v>0.12750435960313977</c:v>
                </c:pt>
                <c:pt idx="599">
                  <c:v>0.11175034069376873</c:v>
                </c:pt>
                <c:pt idx="600">
                  <c:v>9.6010307190554173E-2</c:v>
                </c:pt>
                <c:pt idx="601">
                  <c:v>8.0284297407402616E-2</c:v>
                </c:pt>
                <c:pt idx="602">
                  <c:v>6.457234878967727E-2</c:v>
                </c:pt>
                <c:pt idx="603">
                  <c:v>4.8874497925391759E-2</c:v>
                </c:pt>
                <c:pt idx="604">
                  <c:v>3.3190780556205925E-2</c:v>
                </c:pt>
                <c:pt idx="605">
                  <c:v>1.7521231588306457E-2</c:v>
                </c:pt>
                <c:pt idx="606">
                  <c:v>-0.74733378718406451</c:v>
                </c:pt>
                <c:pt idx="607">
                  <c:v>-1.4747620233870993</c:v>
                </c:pt>
                <c:pt idx="608">
                  <c:v>-2.165212608611764</c:v>
                </c:pt>
                <c:pt idx="609">
                  <c:v>-2.8205005895381308</c:v>
                </c:pt>
                <c:pt idx="610">
                  <c:v>-3.4430312085270867</c:v>
                </c:pt>
                <c:pt idx="611">
                  <c:v>-4.0353859878936387</c:v>
                </c:pt>
                <c:pt idx="612">
                  <c:v>-4.6001080866738588</c:v>
                </c:pt>
                <c:pt idx="613">
                  <c:v>-5.1395972536455687</c:v>
                </c:pt>
                <c:pt idx="614">
                  <c:v>-5.6560646886512522</c:v>
                </c:pt>
                <c:pt idx="615">
                  <c:v>-6.1515201672006814</c:v>
                </c:pt>
                <c:pt idx="616">
                  <c:v>-6.6277760095407769</c:v>
                </c:pt>
                <c:pt idx="617">
                  <c:v>-7.0864593043074073</c:v>
                </c:pt>
                <c:pt idx="618">
                  <c:v>-7.2650010145914106</c:v>
                </c:pt>
                <c:pt idx="619">
                  <c:v>-7.4409116168868694</c:v>
                </c:pt>
                <c:pt idx="620">
                  <c:v>-7.614286847001237</c:v>
                </c:pt>
                <c:pt idx="621">
                  <c:v>-7.7852176502112078</c:v>
                </c:pt>
                <c:pt idx="622">
                  <c:v>-7.9537904696943702</c:v>
                </c:pt>
                <c:pt idx="623">
                  <c:v>-8.1200875149627478</c:v>
                </c:pt>
                <c:pt idx="624">
                  <c:v>-8.2841870118074574</c:v>
                </c:pt>
                <c:pt idx="625">
                  <c:v>-8.4461634351508437</c:v>
                </c:pt>
                <c:pt idx="626">
                  <c:v>-8.6060877260960371</c:v>
                </c:pt>
                <c:pt idx="627">
                  <c:v>-8.7640274943640879</c:v>
                </c:pt>
                <c:pt idx="628">
                  <c:v>-8.9200472072160153</c:v>
                </c:pt>
                <c:pt idx="629">
                  <c:v>-9.0742083658706836</c:v>
                </c:pt>
                <c:pt idx="630">
                  <c:v>-9.226569670349523</c:v>
                </c:pt>
                <c:pt idx="631">
                  <c:v>-9.3771871736051509</c:v>
                </c:pt>
                <c:pt idx="632">
                  <c:v>-9.5261144257229091</c:v>
                </c:pt>
                <c:pt idx="633">
                  <c:v>-9.6734026089215472</c:v>
                </c:pt>
                <c:pt idx="634">
                  <c:v>-9.8191006640215974</c:v>
                </c:pt>
                <c:pt idx="635">
                  <c:v>-9.9632554089969947</c:v>
                </c:pt>
                <c:pt idx="636">
                  <c:v>-10.105911650176818</c:v>
                </c:pt>
                <c:pt idx="637">
                  <c:v>-10.247112286619295</c:v>
                </c:pt>
                <c:pt idx="638">
                  <c:v>-10.3868984081394</c:v>
                </c:pt>
                <c:pt idx="639">
                  <c:v>-10.525309387433548</c:v>
                </c:pt>
                <c:pt idx="640">
                  <c:v>-10.66238296671067</c:v>
                </c:pt>
                <c:pt idx="641">
                  <c:v>-10.798155339207085</c:v>
                </c:pt>
                <c:pt idx="642">
                  <c:v>-10.932661225933833</c:v>
                </c:pt>
                <c:pt idx="643">
                  <c:v>-11.065933947978303</c:v>
                </c:pt>
                <c:pt idx="644">
                  <c:v>-11.198005494657746</c:v>
                </c:pt>
                <c:pt idx="645">
                  <c:v>-11.328906587799759</c:v>
                </c:pt>
                <c:pt idx="646">
                  <c:v>-11.458666742404297</c:v>
                </c:pt>
                <c:pt idx="647">
                  <c:v>-11.587314323922872</c:v>
                </c:pt>
                <c:pt idx="648">
                  <c:v>-11.714876602373195</c:v>
                </c:pt>
                <c:pt idx="649">
                  <c:v>-11.8413798034916</c:v>
                </c:pt>
                <c:pt idx="650">
                  <c:v>-11.966849157110921</c:v>
                </c:pt>
                <c:pt idx="651">
                  <c:v>-12.091308942937907</c:v>
                </c:pt>
                <c:pt idx="652">
                  <c:v>-12.214782533891924</c:v>
                </c:pt>
                <c:pt idx="653">
                  <c:v>-12.337292437155183</c:v>
                </c:pt>
                <c:pt idx="654">
                  <c:v>-12.458860333074162</c:v>
                </c:pt>
                <c:pt idx="655">
                  <c:v>-12.579507112042219</c:v>
                </c:pt>
                <c:pt idx="656">
                  <c:v>-12.699252909484372</c:v>
                </c:pt>
                <c:pt idx="657">
                  <c:v>-12.818117139056923</c:v>
                </c:pt>
                <c:pt idx="658">
                  <c:v>-12.936118524166996</c:v>
                </c:pt>
                <c:pt idx="659">
                  <c:v>-13.053275127909922</c:v>
                </c:pt>
                <c:pt idx="660">
                  <c:v>-13.16960438151594</c:v>
                </c:pt>
                <c:pt idx="661">
                  <c:v>-13.285123111391538</c:v>
                </c:pt>
                <c:pt idx="662">
                  <c:v>-13.399847564835257</c:v>
                </c:pt>
                <c:pt idx="663">
                  <c:v>-13.513793434502437</c:v>
                </c:pt>
                <c:pt idx="664">
                  <c:v>-13.626975881688864</c:v>
                </c:pt>
                <c:pt idx="665">
                  <c:v>-13.739409558498359</c:v>
                </c:pt>
                <c:pt idx="666">
                  <c:v>-13.851108628955767</c:v>
                </c:pt>
                <c:pt idx="667">
                  <c:v>-13.962086789122397</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-243.51248451304488</c:v>
                </c:pt>
                <c:pt idx="1">
                  <c:v>-255.99109018241865</c:v>
                </c:pt>
                <c:pt idx="2">
                  <c:v>-260.53555302663813</c:v>
                </c:pt>
                <c:pt idx="3">
                  <c:v>-262.851100261711</c:v>
                </c:pt>
                <c:pt idx="4">
                  <c:v>-264.24715994163381</c:v>
                </c:pt>
                <c:pt idx="5">
                  <c:v>-265.17751444144881</c:v>
                </c:pt>
                <c:pt idx="6">
                  <c:v>-265.83997270957798</c:v>
                </c:pt>
                <c:pt idx="7">
                  <c:v>-266.334340133316</c:v>
                </c:pt>
                <c:pt idx="8">
                  <c:v>-266.71636715525426</c:v>
                </c:pt>
                <c:pt idx="9">
                  <c:v>-267.01962281627812</c:v>
                </c:pt>
                <c:pt idx="10">
                  <c:v>-268.31506491462261</c:v>
                </c:pt>
                <c:pt idx="11">
                  <c:v>-268.66119773203712</c:v>
                </c:pt>
                <c:pt idx="12">
                  <c:v>-268.7696976810326</c:v>
                </c:pt>
                <c:pt idx="13">
                  <c:v>-268.78311523612786</c:v>
                </c:pt>
                <c:pt idx="14">
                  <c:v>-268.74898644784821</c:v>
                </c:pt>
                <c:pt idx="15">
                  <c:v>-268.68768762027719</c:v>
                </c:pt>
                <c:pt idx="16">
                  <c:v>-268.60940801608285</c:v>
                </c:pt>
                <c:pt idx="17">
                  <c:v>-268.5198088063176</c:v>
                </c:pt>
                <c:pt idx="18">
                  <c:v>-268.42228695791005</c:v>
                </c:pt>
                <c:pt idx="19">
                  <c:v>-267.27295166493042</c:v>
                </c:pt>
                <c:pt idx="20">
                  <c:v>-266.02921872967988</c:v>
                </c:pt>
                <c:pt idx="21">
                  <c:v>-264.76278068423153</c:v>
                </c:pt>
                <c:pt idx="22">
                  <c:v>-263.48826009181573</c:v>
                </c:pt>
                <c:pt idx="23">
                  <c:v>-262.21076567922569</c:v>
                </c:pt>
                <c:pt idx="24">
                  <c:v>-260.93268571750116</c:v>
                </c:pt>
                <c:pt idx="25">
                  <c:v>-259.65538596876502</c:v>
                </c:pt>
                <c:pt idx="26">
                  <c:v>-258.37977531878443</c:v>
                </c:pt>
                <c:pt idx="27">
                  <c:v>-257.10653172580771</c:v>
                </c:pt>
                <c:pt idx="28">
                  <c:v>-250.79283345804157</c:v>
                </c:pt>
                <c:pt idx="29">
                  <c:v>-244.60072926591999</c:v>
                </c:pt>
                <c:pt idx="30">
                  <c:v>-238.56774234637297</c:v>
                </c:pt>
                <c:pt idx="31">
                  <c:v>-232.72399063941728</c:v>
                </c:pt>
                <c:pt idx="32">
                  <c:v>-227.0930982190059</c:v>
                </c:pt>
                <c:pt idx="33">
                  <c:v>-221.69248853071196</c:v>
                </c:pt>
                <c:pt idx="34">
                  <c:v>-216.5337839478205</c:v>
                </c:pt>
                <c:pt idx="35">
                  <c:v>-211.62338069532711</c:v>
                </c:pt>
                <c:pt idx="36">
                  <c:v>-206.96314938170786</c:v>
                </c:pt>
                <c:pt idx="37">
                  <c:v>-202.55119217690032</c:v>
                </c:pt>
                <c:pt idx="38">
                  <c:v>-198.38259584394956</c:v>
                </c:pt>
                <c:pt idx="39">
                  <c:v>-194.45013603913105</c:v>
                </c:pt>
                <c:pt idx="40">
                  <c:v>-190.74490515587911</c:v>
                </c:pt>
                <c:pt idx="41">
                  <c:v>-187.25685034423472</c:v>
                </c:pt>
                <c:pt idx="42">
                  <c:v>-183.97521910791707</c:v>
                </c:pt>
                <c:pt idx="43">
                  <c:v>-180.88891709394878</c:v>
                </c:pt>
                <c:pt idx="44">
                  <c:v>-177.98678690593715</c:v>
                </c:pt>
                <c:pt idx="45">
                  <c:v>-175.25781872650018</c:v>
                </c:pt>
                <c:pt idx="46">
                  <c:v>-172.69130393402284</c:v>
                </c:pt>
                <c:pt idx="47">
                  <c:v>-170.2769423303528</c:v>
                </c:pt>
                <c:pt idx="48">
                  <c:v>-168.00491249952779</c:v>
                </c:pt>
                <c:pt idx="49">
                  <c:v>-165.86591349802507</c:v>
                </c:pt>
                <c:pt idx="50">
                  <c:v>-163.85118472926251</c:v>
                </c:pt>
                <c:pt idx="51">
                  <c:v>-161.95250959250609</c:v>
                </c:pt>
                <c:pt idx="52">
                  <c:v>-160.16220737593062</c:v>
                </c:pt>
                <c:pt idx="53">
                  <c:v>-158.4731169058814</c:v>
                </c:pt>
                <c:pt idx="54">
                  <c:v>-156.87857466806997</c:v>
                </c:pt>
                <c:pt idx="55">
                  <c:v>-155.37238946833318</c:v>
                </c:pt>
                <c:pt idx="56">
                  <c:v>-153.94881518213759</c:v>
                </c:pt>
                <c:pt idx="57">
                  <c:v>-152.60252273326688</c:v>
                </c:pt>
                <c:pt idx="58">
                  <c:v>-151.3285721239493</c:v>
                </c:pt>
                <c:pt idx="59">
                  <c:v>-150.12238509389255</c:v>
                </c:pt>
                <c:pt idx="60">
                  <c:v>-148.97971879948059</c:v>
                </c:pt>
                <c:pt idx="61">
                  <c:v>-147.89664076437074</c:v>
                </c:pt>
                <c:pt idx="62">
                  <c:v>-146.8695052487638</c:v>
                </c:pt>
                <c:pt idx="63">
                  <c:v>-145.8949311085218</c:v>
                </c:pt>
                <c:pt idx="64">
                  <c:v>-144.96978116057514</c:v>
                </c:pt>
                <c:pt idx="65">
                  <c:v>-144.0911430325651</c:v>
                </c:pt>
                <c:pt idx="66">
                  <c:v>-143.25631144841117</c:v>
                </c:pt>
                <c:pt idx="67">
                  <c:v>-142.46277188437199</c:v>
                </c:pt>
                <c:pt idx="68">
                  <c:v>-141.70818551980381</c:v>
                </c:pt>
                <c:pt idx="69">
                  <c:v>-140.99037540138215</c:v>
                </c:pt>
                <c:pt idx="70">
                  <c:v>-140.30731373765656</c:v>
                </c:pt>
                <c:pt idx="71">
                  <c:v>-139.65711024141206</c:v>
                </c:pt>
                <c:pt idx="72">
                  <c:v>-139.0380014396211</c:v>
                </c:pt>
                <c:pt idx="73">
                  <c:v>-138.44834087421347</c:v>
                </c:pt>
                <c:pt idx="74">
                  <c:v>-137.88659012102681</c:v>
                </c:pt>
                <c:pt idx="75">
                  <c:v>-137.35131055882391</c:v>
                </c:pt>
                <c:pt idx="76">
                  <c:v>-136.84115582494107</c:v>
                </c:pt>
                <c:pt idx="77">
                  <c:v>-136.35486489880856</c:v>
                </c:pt>
                <c:pt idx="78">
                  <c:v>-135.89125575915202</c:v>
                </c:pt>
                <c:pt idx="79">
                  <c:v>-135.4492195650634</c:v>
                </c:pt>
                <c:pt idx="80">
                  <c:v>-135.02771531528225</c:v>
                </c:pt>
                <c:pt idx="81">
                  <c:v>-134.62576494392459</c:v>
                </c:pt>
                <c:pt idx="82">
                  <c:v>-134.24244881452319</c:v>
                </c:pt>
                <c:pt idx="83">
                  <c:v>-133.87690157760255</c:v>
                </c:pt>
                <c:pt idx="84">
                  <c:v>-133.52830836010673</c:v>
                </c:pt>
                <c:pt idx="85">
                  <c:v>-133.19590125783836</c:v>
                </c:pt>
                <c:pt idx="86">
                  <c:v>-132.87895610466813</c:v>
                </c:pt>
                <c:pt idx="87">
                  <c:v>-132.57678949464685</c:v>
                </c:pt>
                <c:pt idx="88">
                  <c:v>-132.28875603531625</c:v>
                </c:pt>
                <c:pt idx="89">
                  <c:v>-132.01424581248241</c:v>
                </c:pt>
                <c:pt idx="90">
                  <c:v>-131.75268204850471</c:v>
                </c:pt>
                <c:pt idx="91">
                  <c:v>-131.50351893777705</c:v>
                </c:pt>
                <c:pt idx="92">
                  <c:v>-131.26623964455186</c:v>
                </c:pt>
                <c:pt idx="93">
                  <c:v>-131.04035444959436</c:v>
                </c:pt>
                <c:pt idx="94">
                  <c:v>-130.82539903336516</c:v>
                </c:pt>
                <c:pt idx="95">
                  <c:v>-130.62093288452894</c:v>
                </c:pt>
                <c:pt idx="96">
                  <c:v>-130.42653782358173</c:v>
                </c:pt>
                <c:pt idx="97">
                  <c:v>-130.2418166322924</c:v>
                </c:pt>
                <c:pt idx="98">
                  <c:v>-130.06639178047129</c:v>
                </c:pt>
                <c:pt idx="99">
                  <c:v>-129.89990424232241</c:v>
                </c:pt>
                <c:pt idx="100">
                  <c:v>-129.74201239530663</c:v>
                </c:pt>
                <c:pt idx="101">
                  <c:v>-129.59239099505609</c:v>
                </c:pt>
                <c:pt idx="102">
                  <c:v>-129.45073022043226</c:v>
                </c:pt>
                <c:pt idx="103">
                  <c:v>-129.31673478332556</c:v>
                </c:pt>
                <c:pt idx="104">
                  <c:v>-129.19012309824964</c:v>
                </c:pt>
                <c:pt idx="105">
                  <c:v>-129.07062650720107</c:v>
                </c:pt>
                <c:pt idx="106">
                  <c:v>-128.95798855563135</c:v>
                </c:pt>
                <c:pt idx="107">
                  <c:v>-128.85196431572442</c:v>
                </c:pt>
                <c:pt idx="108">
                  <c:v>-128.75231975348322</c:v>
                </c:pt>
                <c:pt idx="109">
                  <c:v>-128.65883113641706</c:v>
                </c:pt>
                <c:pt idx="110">
                  <c:v>-128.57128447887936</c:v>
                </c:pt>
                <c:pt idx="111">
                  <c:v>-128.48947502234404</c:v>
                </c:pt>
                <c:pt idx="112">
                  <c:v>-128.41320674812431</c:v>
                </c:pt>
                <c:pt idx="113">
                  <c:v>-128.34229192023599</c:v>
                </c:pt>
                <c:pt idx="114">
                  <c:v>-128.27655065628772</c:v>
                </c:pt>
                <c:pt idx="115">
                  <c:v>-128.21581052444577</c:v>
                </c:pt>
                <c:pt idx="116">
                  <c:v>-128.15990616467258</c:v>
                </c:pt>
                <c:pt idx="117">
                  <c:v>-128.1086789325754</c:v>
                </c:pt>
                <c:pt idx="118">
                  <c:v>-128.06197656432994</c:v>
                </c:pt>
                <c:pt idx="119">
                  <c:v>-128.01965286125835</c:v>
                </c:pt>
                <c:pt idx="120">
                  <c:v>-127.98156739274822</c:v>
                </c:pt>
                <c:pt idx="121">
                  <c:v>-127.94758521629788</c:v>
                </c:pt>
                <c:pt idx="122">
                  <c:v>-127.91757661356107</c:v>
                </c:pt>
                <c:pt idx="123">
                  <c:v>-127.89141684134883</c:v>
                </c:pt>
                <c:pt idx="124">
                  <c:v>-127.8689858966209</c:v>
                </c:pt>
                <c:pt idx="125">
                  <c:v>-127.8501682945691</c:v>
                </c:pt>
                <c:pt idx="126">
                  <c:v>-127.83485285896025</c:v>
                </c:pt>
                <c:pt idx="127">
                  <c:v>-127.82293252396406</c:v>
                </c:pt>
                <c:pt idx="128">
                  <c:v>-127.81430414674716</c:v>
                </c:pt>
                <c:pt idx="129">
                  <c:v>-127.80886833016433</c:v>
                </c:pt>
                <c:pt idx="130">
                  <c:v>-127.80652925492495</c:v>
                </c:pt>
                <c:pt idx="131">
                  <c:v>-127.80719452065433</c:v>
                </c:pt>
                <c:pt idx="132">
                  <c:v>-127.81077499531128</c:v>
                </c:pt>
                <c:pt idx="133">
                  <c:v>-127.81718467245832</c:v>
                </c:pt>
                <c:pt idx="134">
                  <c:v>-127.82634053591511</c:v>
                </c:pt>
                <c:pt idx="135">
                  <c:v>-127.83816243135834</c:v>
                </c:pt>
                <c:pt idx="136">
                  <c:v>-127.85257294445827</c:v>
                </c:pt>
                <c:pt idx="137">
                  <c:v>-127.86949728517149</c:v>
                </c:pt>
                <c:pt idx="138">
                  <c:v>-127.88886317783219</c:v>
                </c:pt>
                <c:pt idx="139">
                  <c:v>-127.91060075670904</c:v>
                </c:pt>
                <c:pt idx="140">
                  <c:v>-127.93464246671584</c:v>
                </c:pt>
                <c:pt idx="141">
                  <c:v>-127.96092296898345</c:v>
                </c:pt>
                <c:pt idx="142">
                  <c:v>-127.98937905102026</c:v>
                </c:pt>
                <c:pt idx="143">
                  <c:v>-128.01994954120443</c:v>
                </c:pt>
                <c:pt idx="144">
                  <c:v>-128.05257522736841</c:v>
                </c:pt>
                <c:pt idx="145">
                  <c:v>-128.08719877925046</c:v>
                </c:pt>
                <c:pt idx="146">
                  <c:v>-128.1237646746018</c:v>
                </c:pt>
                <c:pt idx="147">
                  <c:v>-128.16221912875142</c:v>
                </c:pt>
                <c:pt idx="148">
                  <c:v>-128.2025100274422</c:v>
                </c:pt>
                <c:pt idx="149">
                  <c:v>-128.24458686276381</c:v>
                </c:pt>
                <c:pt idx="150">
                  <c:v>-128.2884006720177</c:v>
                </c:pt>
                <c:pt idx="151">
                  <c:v>-128.3339039793598</c:v>
                </c:pt>
                <c:pt idx="152">
                  <c:v>-128.38105074007564</c:v>
                </c:pt>
                <c:pt idx="153">
                  <c:v>-128.42979628735094</c:v>
                </c:pt>
                <c:pt idx="154">
                  <c:v>-128.48009728140877</c:v>
                </c:pt>
                <c:pt idx="155">
                  <c:v>-128.53191166089275</c:v>
                </c:pt>
                <c:pt idx="156">
                  <c:v>-128.58519859638051</c:v>
                </c:pt>
                <c:pt idx="157">
                  <c:v>-128.63991844592115</c:v>
                </c:pt>
                <c:pt idx="158">
                  <c:v>-128.69603271249429</c:v>
                </c:pt>
                <c:pt idx="159">
                  <c:v>-128.75350400329489</c:v>
                </c:pt>
                <c:pt idx="160">
                  <c:v>-128.81229599075363</c:v>
                </c:pt>
                <c:pt idx="161">
                  <c:v>-128.8723733752071</c:v>
                </c:pt>
                <c:pt idx="162">
                  <c:v>-128.93370184913775</c:v>
                </c:pt>
                <c:pt idx="163">
                  <c:v>-128.99624806290618</c:v>
                </c:pt>
                <c:pt idx="164">
                  <c:v>-129.05997959190503</c:v>
                </c:pt>
                <c:pt idx="165">
                  <c:v>-129.12486490506581</c:v>
                </c:pt>
                <c:pt idx="166">
                  <c:v>-129.19087333465353</c:v>
                </c:pt>
                <c:pt idx="167">
                  <c:v>-129.25797504728962</c:v>
                </c:pt>
                <c:pt idx="168">
                  <c:v>-129.32614101614382</c:v>
                </c:pt>
                <c:pt idx="169">
                  <c:v>-129.39534299424182</c:v>
                </c:pt>
                <c:pt idx="170">
                  <c:v>-129.46555348883538</c:v>
                </c:pt>
                <c:pt idx="171">
                  <c:v>-129.53674573678754</c:v>
                </c:pt>
                <c:pt idx="172">
                  <c:v>-129.60889368092492</c:v>
                </c:pt>
                <c:pt idx="173">
                  <c:v>-129.68197194731383</c:v>
                </c:pt>
                <c:pt idx="174">
                  <c:v>-129.75595582341819</c:v>
                </c:pt>
                <c:pt idx="175">
                  <c:v>-129.83082123709943</c:v>
                </c:pt>
                <c:pt idx="176">
                  <c:v>-129.90654473642087</c:v>
                </c:pt>
                <c:pt idx="177">
                  <c:v>-129.98310347022093</c:v>
                </c:pt>
                <c:pt idx="178">
                  <c:v>-130.06047516942039</c:v>
                </c:pt>
                <c:pt idx="179">
                  <c:v>-130.13863812903293</c:v>
                </c:pt>
                <c:pt idx="180">
                  <c:v>-130.2175711908466</c:v>
                </c:pt>
                <c:pt idx="181">
                  <c:v>-130.29725372674852</c:v>
                </c:pt>
                <c:pt idx="182">
                  <c:v>-130.37766562266376</c:v>
                </c:pt>
                <c:pt idx="183">
                  <c:v>-130.45878726308337</c:v>
                </c:pt>
                <c:pt idx="184">
                  <c:v>-130.54059951615514</c:v>
                </c:pt>
                <c:pt idx="185">
                  <c:v>-130.62308371931439</c:v>
                </c:pt>
                <c:pt idx="186">
                  <c:v>-130.70622166543134</c:v>
                </c:pt>
                <c:pt idx="187">
                  <c:v>-130.7899955894533</c:v>
                </c:pt>
                <c:pt idx="188">
                  <c:v>-130.87438815552184</c:v>
                </c:pt>
                <c:pt idx="189">
                  <c:v>-130.95938244454427</c:v>
                </c:pt>
                <c:pt idx="190">
                  <c:v>-131.04496194220181</c:v>
                </c:pt>
                <c:pt idx="191">
                  <c:v>-131.13111052737531</c:v>
                </c:pt>
                <c:pt idx="192">
                  <c:v>-131.21781246097277</c:v>
                </c:pt>
                <c:pt idx="193">
                  <c:v>-131.30505237514146</c:v>
                </c:pt>
                <c:pt idx="194">
                  <c:v>-131.39281526284972</c:v>
                </c:pt>
                <c:pt idx="195">
                  <c:v>-131.48108646782316</c:v>
                </c:pt>
                <c:pt idx="196">
                  <c:v>-131.56985167482185</c:v>
                </c:pt>
                <c:pt idx="197">
                  <c:v>-131.65909690024404</c:v>
                </c:pt>
                <c:pt idx="198">
                  <c:v>-131.74880848304448</c:v>
                </c:pt>
                <c:pt idx="199">
                  <c:v>-131.83897307595456</c:v>
                </c:pt>
                <c:pt idx="200">
                  <c:v>-131.92957763699238</c:v>
                </c:pt>
                <c:pt idx="201">
                  <c:v>-132.02060942125186</c:v>
                </c:pt>
                <c:pt idx="202">
                  <c:v>-132.11205597296009</c:v>
                </c:pt>
                <c:pt idx="203">
                  <c:v>-132.2039051177924</c:v>
                </c:pt>
                <c:pt idx="204">
                  <c:v>-132.29614495543544</c:v>
                </c:pt>
                <c:pt idx="205">
                  <c:v>-132.38876385238925</c:v>
                </c:pt>
                <c:pt idx="206">
                  <c:v>-132.48175043499842</c:v>
                </c:pt>
                <c:pt idx="207">
                  <c:v>-132.57509358270491</c:v>
                </c:pt>
                <c:pt idx="208">
                  <c:v>-132.66878242151316</c:v>
                </c:pt>
                <c:pt idx="209">
                  <c:v>-132.76280631766048</c:v>
                </c:pt>
                <c:pt idx="210">
                  <c:v>-132.85715487148448</c:v>
                </c:pt>
                <c:pt idx="211">
                  <c:v>-132.95181791148082</c:v>
                </c:pt>
                <c:pt idx="212">
                  <c:v>-133.04678548854406</c:v>
                </c:pt>
                <c:pt idx="213">
                  <c:v>-133.1420478703848</c:v>
                </c:pt>
                <c:pt idx="214">
                  <c:v>-133.2375955361174</c:v>
                </c:pt>
                <c:pt idx="215">
                  <c:v>-133.33341917101117</c:v>
                </c:pt>
                <c:pt idx="216">
                  <c:v>-133.42950966140026</c:v>
                </c:pt>
                <c:pt idx="217">
                  <c:v>-133.5258580897455</c:v>
                </c:pt>
                <c:pt idx="218">
                  <c:v>-133.62245572984378</c:v>
                </c:pt>
                <c:pt idx="219">
                  <c:v>-133.7192940421792</c:v>
                </c:pt>
                <c:pt idx="220">
                  <c:v>-133.8163646694112</c:v>
                </c:pt>
                <c:pt idx="221">
                  <c:v>-133.91365943199503</c:v>
                </c:pt>
                <c:pt idx="222">
                  <c:v>-134.01117032392932</c:v>
                </c:pt>
                <c:pt idx="223">
                  <c:v>-134.10888950862758</c:v>
                </c:pt>
                <c:pt idx="224">
                  <c:v>-134.20680931490833</c:v>
                </c:pt>
                <c:pt idx="225">
                  <c:v>-134.3049222330998</c:v>
                </c:pt>
                <c:pt idx="226">
                  <c:v>-135.29512865654587</c:v>
                </c:pt>
                <c:pt idx="227">
                  <c:v>-136.29745182281331</c:v>
                </c:pt>
                <c:pt idx="228">
                  <c:v>-137.30654200078064</c:v>
                </c:pt>
                <c:pt idx="229">
                  <c:v>-138.31804206205348</c:v>
                </c:pt>
                <c:pt idx="230">
                  <c:v>-139.3283988508459</c:v>
                </c:pt>
                <c:pt idx="231">
                  <c:v>-140.33471562646898</c:v>
                </c:pt>
                <c:pt idx="232">
                  <c:v>-141.33463526079103</c:v>
                </c:pt>
                <c:pt idx="233">
                  <c:v>-142.32624678156267</c:v>
                </c:pt>
                <c:pt idx="234">
                  <c:v>-143.30800986642629</c:v>
                </c:pt>
                <c:pt idx="235">
                  <c:v>-144.27869330660994</c:v>
                </c:pt>
                <c:pt idx="236">
                  <c:v>-145.23732446549334</c:v>
                </c:pt>
                <c:pt idx="237">
                  <c:v>-146.1831474821056</c:v>
                </c:pt>
                <c:pt idx="238">
                  <c:v>-147.11558849804402</c:v>
                </c:pt>
                <c:pt idx="239">
                  <c:v>-148.03422657594956</c:v>
                </c:pt>
                <c:pt idx="240">
                  <c:v>-148.93876926815861</c:v>
                </c:pt>
                <c:pt idx="241">
                  <c:v>-149.82903201303725</c:v>
                </c:pt>
                <c:pt idx="242">
                  <c:v>-150.70492070316109</c:v>
                </c:pt>
                <c:pt idx="243">
                  <c:v>-151.56641689768477</c:v>
                </c:pt>
                <c:pt idx="244">
                  <c:v>-152.41356525080468</c:v>
                </c:pt>
                <c:pt idx="245">
                  <c:v>-153.2464628062896</c:v>
                </c:pt>
                <c:pt idx="246">
                  <c:v>-154.06524986983641</c:v>
                </c:pt>
                <c:pt idx="247">
                  <c:v>-154.87010222033481</c:v>
                </c:pt>
                <c:pt idx="248">
                  <c:v>-155.66122446083472</c:v>
                </c:pt>
                <c:pt idx="249">
                  <c:v>-156.43884434223477</c:v>
                </c:pt>
                <c:pt idx="250">
                  <c:v>-157.20320791905186</c:v>
                </c:pt>
                <c:pt idx="251">
                  <c:v>-157.95457541831519</c:v>
                </c:pt>
                <c:pt idx="252">
                  <c:v>-158.69321772059001</c:v>
                </c:pt>
                <c:pt idx="253">
                  <c:v>-159.41941336710013</c:v>
                </c:pt>
                <c:pt idx="254">
                  <c:v>-160.13344601945491</c:v>
                </c:pt>
                <c:pt idx="255">
                  <c:v>-160.83560230903444</c:v>
                </c:pt>
                <c:pt idx="256">
                  <c:v>-161.52617002200429</c:v>
                </c:pt>
                <c:pt idx="257">
                  <c:v>-162.20543657349594</c:v>
                </c:pt>
                <c:pt idx="258">
                  <c:v>-162.87368773093112</c:v>
                </c:pt>
                <c:pt idx="259">
                  <c:v>-163.53120655196767</c:v>
                </c:pt>
                <c:pt idx="260">
                  <c:v>-164.17827250725634</c:v>
                </c:pt>
                <c:pt idx="261">
                  <c:v>-164.81516076223738</c:v>
                </c:pt>
                <c:pt idx="262">
                  <c:v>-165.44214159568619</c:v>
                </c:pt>
                <c:pt idx="263">
                  <c:v>-166.05947993570965</c:v>
                </c:pt>
                <c:pt idx="264">
                  <c:v>-166.66743499648175</c:v>
                </c:pt>
                <c:pt idx="265">
                  <c:v>-167.2662600012419</c:v>
                </c:pt>
                <c:pt idx="266">
                  <c:v>-167.85620197900982</c:v>
                </c:pt>
                <c:pt idx="267">
                  <c:v>-168.43750162414921</c:v>
                </c:pt>
                <c:pt idx="268">
                  <c:v>-169.01039320935993</c:v>
                </c:pt>
                <c:pt idx="269">
                  <c:v>-169.57510454394105</c:v>
                </c:pt>
                <c:pt idx="270">
                  <c:v>-170.13185697025875</c:v>
                </c:pt>
                <c:pt idx="271">
                  <c:v>-170.68086539230296</c:v>
                </c:pt>
                <c:pt idx="272">
                  <c:v>-171.22233833104337</c:v>
                </c:pt>
                <c:pt idx="273">
                  <c:v>-171.75647800201023</c:v>
                </c:pt>
                <c:pt idx="274">
                  <c:v>-172.28348041115234</c:v>
                </c:pt>
                <c:pt idx="275">
                  <c:v>-172.8035354655652</c:v>
                </c:pt>
                <c:pt idx="276">
                  <c:v>-173.31682709615461</c:v>
                </c:pt>
                <c:pt idx="277">
                  <c:v>-173.82353338971186</c:v>
                </c:pt>
                <c:pt idx="278">
                  <c:v>-174.32382672823391</c:v>
                </c:pt>
                <c:pt idx="279">
                  <c:v>-174.81787393363143</c:v>
                </c:pt>
                <c:pt idx="280">
                  <c:v>-175.30583641623841</c:v>
                </c:pt>
                <c:pt idx="281">
                  <c:v>-175.78787032577117</c:v>
                </c:pt>
                <c:pt idx="282">
                  <c:v>-176.26412670358854</c:v>
                </c:pt>
                <c:pt idx="283">
                  <c:v>-176.73475163528209</c:v>
                </c:pt>
                <c:pt idx="284">
                  <c:v>-177.19988640277791</c:v>
                </c:pt>
                <c:pt idx="285">
                  <c:v>-177.65966763526609</c:v>
                </c:pt>
                <c:pt idx="286">
                  <c:v>-178.11422745838806</c:v>
                </c:pt>
                <c:pt idx="287">
                  <c:v>-178.56369364121173</c:v>
                </c:pt>
                <c:pt idx="288">
                  <c:v>-179.00818974061229</c:v>
                </c:pt>
                <c:pt idx="289">
                  <c:v>-179.44783524274828</c:v>
                </c:pt>
                <c:pt idx="290">
                  <c:v>-179.88274570138898</c:v>
                </c:pt>
                <c:pt idx="291">
                  <c:v>-180.31303287290322</c:v>
                </c:pt>
                <c:pt idx="292">
                  <c:v>-180.7388048477672</c:v>
                </c:pt>
                <c:pt idx="293">
                  <c:v>-181.16016617848976</c:v>
                </c:pt>
                <c:pt idx="294">
                  <c:v>-181.57721800388725</c:v>
                </c:pt>
                <c:pt idx="295">
                  <c:v>-181.99005816967113</c:v>
                </c:pt>
                <c:pt idx="296">
                  <c:v>-182.39878134533447</c:v>
                </c:pt>
                <c:pt idx="297">
                  <c:v>-182.80347913734613</c:v>
                </c:pt>
                <c:pt idx="298">
                  <c:v>-183.20424019867829</c:v>
                </c:pt>
                <c:pt idx="299">
                  <c:v>-183.60115033470743</c:v>
                </c:pt>
                <c:pt idx="300">
                  <c:v>-183.99429260554177</c:v>
                </c:pt>
                <c:pt idx="301">
                  <c:v>-184.38374742483796</c:v>
                </c:pt>
                <c:pt idx="302">
                  <c:v>-184.76959265517661</c:v>
                </c:pt>
                <c:pt idx="303">
                  <c:v>-185.15190370007497</c:v>
                </c:pt>
                <c:pt idx="304">
                  <c:v>-185.53075359271747</c:v>
                </c:pt>
                <c:pt idx="305">
                  <c:v>-185.90621308149076</c:v>
                </c:pt>
                <c:pt idx="306">
                  <c:v>-186.27835071241111</c:v>
                </c:pt>
                <c:pt idx="307">
                  <c:v>-186.64723290853442</c:v>
                </c:pt>
                <c:pt idx="308">
                  <c:v>-187.01292404644033</c:v>
                </c:pt>
                <c:pt idx="309">
                  <c:v>-187.37548652988218</c:v>
                </c:pt>
                <c:pt idx="310">
                  <c:v>-187.73498086069372</c:v>
                </c:pt>
                <c:pt idx="311">
                  <c:v>-188.09146570704419</c:v>
                </c:pt>
                <c:pt idx="312">
                  <c:v>-188.44499796913195</c:v>
                </c:pt>
                <c:pt idx="313">
                  <c:v>-188.79563284240405</c:v>
                </c:pt>
                <c:pt idx="314">
                  <c:v>-189.14342387839056</c:v>
                </c:pt>
                <c:pt idx="315">
                  <c:v>-189.48842304323784</c:v>
                </c:pt>
                <c:pt idx="316">
                  <c:v>-189.8306807740247</c:v>
                </c:pt>
                <c:pt idx="317">
                  <c:v>-190.17024603294263</c:v>
                </c:pt>
                <c:pt idx="318">
                  <c:v>-190.50716635941981</c:v>
                </c:pt>
                <c:pt idx="319">
                  <c:v>-190.84148792026525</c:v>
                </c:pt>
                <c:pt idx="320">
                  <c:v>-191.17325555790825</c:v>
                </c:pt>
                <c:pt idx="321">
                  <c:v>-191.50251283680575</c:v>
                </c:pt>
                <c:pt idx="322">
                  <c:v>-191.82930208808713</c:v>
                </c:pt>
                <c:pt idx="323">
                  <c:v>-192.15366445250498</c:v>
                </c:pt>
                <c:pt idx="324">
                  <c:v>-192.47563992175694</c:v>
                </c:pt>
                <c:pt idx="325">
                  <c:v>-192.79526737824168</c:v>
                </c:pt>
                <c:pt idx="326">
                  <c:v>-193.11258463331089</c:v>
                </c:pt>
                <c:pt idx="327">
                  <c:v>-193.42762846407507</c:v>
                </c:pt>
                <c:pt idx="328">
                  <c:v>-193.74043464882033</c:v>
                </c:pt>
                <c:pt idx="329">
                  <c:v>-194.05103800109066</c:v>
                </c:pt>
                <c:pt idx="330">
                  <c:v>-194.35947240248836</c:v>
                </c:pt>
                <c:pt idx="331">
                  <c:v>-194.66577083424261</c:v>
                </c:pt>
                <c:pt idx="332">
                  <c:v>-194.96996540759534</c:v>
                </c:pt>
                <c:pt idx="333">
                  <c:v>-195.27208739305036</c:v>
                </c:pt>
                <c:pt idx="334">
                  <c:v>-195.57216724853154</c:v>
                </c:pt>
                <c:pt idx="335">
                  <c:v>-195.87023464649238</c:v>
                </c:pt>
                <c:pt idx="336">
                  <c:v>-196.16631850001826</c:v>
                </c:pt>
                <c:pt idx="337">
                  <c:v>-196.46044698796177</c:v>
                </c:pt>
                <c:pt idx="338">
                  <c:v>-196.75264757914877</c:v>
                </c:pt>
                <c:pt idx="339">
                  <c:v>-197.04294705569174</c:v>
                </c:pt>
                <c:pt idx="340">
                  <c:v>-197.3313715354459</c:v>
                </c:pt>
                <c:pt idx="341">
                  <c:v>-197.61794649364134</c:v>
                </c:pt>
                <c:pt idx="342">
                  <c:v>-197.90269678372405</c:v>
                </c:pt>
                <c:pt idx="343">
                  <c:v>-198.18564665743625</c:v>
                </c:pt>
                <c:pt idx="344">
                  <c:v>-198.46681978416649</c:v>
                </c:pt>
                <c:pt idx="345">
                  <c:v>-198.74623926959728</c:v>
                </c:pt>
                <c:pt idx="346">
                  <c:v>-199.02392767367851</c:v>
                </c:pt>
                <c:pt idx="347">
                  <c:v>-199.29990702795206</c:v>
                </c:pt>
                <c:pt idx="348">
                  <c:v>-199.57419885225343</c:v>
                </c:pt>
                <c:pt idx="349">
                  <c:v>-199.84682417081447</c:v>
                </c:pt>
                <c:pt idx="350">
                  <c:v>-200.1178035277899</c:v>
                </c:pt>
                <c:pt idx="351">
                  <c:v>-200.38715700223059</c:v>
                </c:pt>
                <c:pt idx="352">
                  <c:v>-200.65490422252441</c:v>
                </c:pt>
                <c:pt idx="353">
                  <c:v>-200.9210643803253</c:v>
                </c:pt>
                <c:pt idx="354">
                  <c:v>-201.18565624398994</c:v>
                </c:pt>
                <c:pt idx="355">
                  <c:v>-201.44869817154165</c:v>
                </c:pt>
                <c:pt idx="356">
                  <c:v>-201.71020812317838</c:v>
                </c:pt>
                <c:pt idx="357">
                  <c:v>-201.97020367334289</c:v>
                </c:pt>
                <c:pt idx="358">
                  <c:v>-202.228702022372</c:v>
                </c:pt>
                <c:pt idx="359">
                  <c:v>-202.48572000773996</c:v>
                </c:pt>
                <c:pt idx="360">
                  <c:v>-202.74127411491204</c:v>
                </c:pt>
                <c:pt idx="361">
                  <c:v>-202.9953804878227</c:v>
                </c:pt>
                <c:pt idx="362">
                  <c:v>-203.24805493899251</c:v>
                </c:pt>
                <c:pt idx="363">
                  <c:v>-203.49931295929727</c:v>
                </c:pt>
                <c:pt idx="364">
                  <c:v>-203.7491697274026</c:v>
                </c:pt>
                <c:pt idx="365">
                  <c:v>-203.99764011887598</c:v>
                </c:pt>
                <c:pt idx="366">
                  <c:v>-204.24473871498887</c:v>
                </c:pt>
                <c:pt idx="367">
                  <c:v>-204.49047981121976</c:v>
                </c:pt>
                <c:pt idx="368">
                  <c:v>-204.73487742546956</c:v>
                </c:pt>
                <c:pt idx="369">
                  <c:v>-204.97794530600012</c:v>
                </c:pt>
                <c:pt idx="370">
                  <c:v>-205.2196969391054</c:v>
                </c:pt>
                <c:pt idx="371">
                  <c:v>-205.46014555652582</c:v>
                </c:pt>
                <c:pt idx="372">
                  <c:v>-205.69930414261461</c:v>
                </c:pt>
                <c:pt idx="373">
                  <c:v>-205.93718544126574</c:v>
                </c:pt>
                <c:pt idx="374">
                  <c:v>-206.17380196261152</c:v>
                </c:pt>
                <c:pt idx="375">
                  <c:v>-206.40916598949869</c:v>
                </c:pt>
                <c:pt idx="376">
                  <c:v>-206.64328958375069</c:v>
                </c:pt>
                <c:pt idx="377">
                  <c:v>-206.87618459222398</c:v>
                </c:pt>
                <c:pt idx="378">
                  <c:v>-207.10786265266586</c:v>
                </c:pt>
                <c:pt idx="379">
                  <c:v>-207.33833519938088</c:v>
                </c:pt>
                <c:pt idx="380">
                  <c:v>-207.56761346871232</c:v>
                </c:pt>
                <c:pt idx="381">
                  <c:v>-207.79570850434601</c:v>
                </c:pt>
                <c:pt idx="382">
                  <c:v>-208.02263116244228</c:v>
                </c:pt>
                <c:pt idx="383">
                  <c:v>-208.24839211660219</c:v>
                </c:pt>
                <c:pt idx="384">
                  <c:v>-208.47300186267435</c:v>
                </c:pt>
                <c:pt idx="385">
                  <c:v>-208.69647072340712</c:v>
                </c:pt>
                <c:pt idx="386">
                  <c:v>-208.91880885295257</c:v>
                </c:pt>
                <c:pt idx="387">
                  <c:v>-209.14002624122671</c:v>
                </c:pt>
                <c:pt idx="388">
                  <c:v>-209.3601327181313</c:v>
                </c:pt>
                <c:pt idx="389">
                  <c:v>-209.57913795764202</c:v>
                </c:pt>
                <c:pt idx="390">
                  <c:v>-209.79705148176771</c:v>
                </c:pt>
                <c:pt idx="391">
                  <c:v>-210.01388266438494</c:v>
                </c:pt>
                <c:pt idx="392">
                  <c:v>-210.22964073495262</c:v>
                </c:pt>
                <c:pt idx="393">
                  <c:v>-210.44433478211042</c:v>
                </c:pt>
                <c:pt idx="394">
                  <c:v>-210.65797375716505</c:v>
                </c:pt>
                <c:pt idx="395">
                  <c:v>-210.87056647746849</c:v>
                </c:pt>
                <c:pt idx="396">
                  <c:v>-211.0821216296917</c:v>
                </c:pt>
                <c:pt idx="397">
                  <c:v>-211.29264777299727</c:v>
                </c:pt>
                <c:pt idx="398">
                  <c:v>-211.50215334211478</c:v>
                </c:pt>
                <c:pt idx="399">
                  <c:v>-211.71064665032168</c:v>
                </c:pt>
                <c:pt idx="400">
                  <c:v>-211.91813589233365</c:v>
                </c:pt>
                <c:pt idx="401">
                  <c:v>-212.12462914710653</c:v>
                </c:pt>
                <c:pt idx="402">
                  <c:v>-212.33013438055357</c:v>
                </c:pt>
                <c:pt idx="403">
                  <c:v>-212.5346594481808</c:v>
                </c:pt>
                <c:pt idx="404">
                  <c:v>-212.73821209764264</c:v>
                </c:pt>
                <c:pt idx="405">
                  <c:v>-212.94079997122103</c:v>
                </c:pt>
                <c:pt idx="406">
                  <c:v>-213.14243060823063</c:v>
                </c:pt>
                <c:pt idx="407">
                  <c:v>-213.3431114473521</c:v>
                </c:pt>
                <c:pt idx="408">
                  <c:v>-213.54284982889618</c:v>
                </c:pt>
                <c:pt idx="409">
                  <c:v>-213.74165299700101</c:v>
                </c:pt>
                <c:pt idx="410">
                  <c:v>-213.93952810176432</c:v>
                </c:pt>
                <c:pt idx="411">
                  <c:v>-214.13648220131341</c:v>
                </c:pt>
                <c:pt idx="412">
                  <c:v>-214.33252226381433</c:v>
                </c:pt>
                <c:pt idx="413">
                  <c:v>-214.52765516942253</c:v>
                </c:pt>
                <c:pt idx="414">
                  <c:v>-214.72188771217685</c:v>
                </c:pt>
                <c:pt idx="415">
                  <c:v>-214.9152266018389</c:v>
                </c:pt>
                <c:pt idx="416">
                  <c:v>-215.1076784656791</c:v>
                </c:pt>
                <c:pt idx="417">
                  <c:v>-215.29924985021171</c:v>
                </c:pt>
                <c:pt idx="418">
                  <c:v>-215.48994722288023</c:v>
                </c:pt>
                <c:pt idx="419">
                  <c:v>-215.67977697369443</c:v>
                </c:pt>
                <c:pt idx="420">
                  <c:v>-215.86874541682144</c:v>
                </c:pt>
                <c:pt idx="421">
                  <c:v>-216.05685879213149</c:v>
                </c:pt>
                <c:pt idx="422">
                  <c:v>-216.24412326670043</c:v>
                </c:pt>
                <c:pt idx="423">
                  <c:v>-216.43054493626965</c:v>
                </c:pt>
                <c:pt idx="424">
                  <c:v>-216.61612982666571</c:v>
                </c:pt>
                <c:pt idx="425">
                  <c:v>-216.80088389518028</c:v>
                </c:pt>
                <c:pt idx="426">
                  <c:v>-216.98481303191198</c:v>
                </c:pt>
                <c:pt idx="427">
                  <c:v>-217.16792306107089</c:v>
                </c:pt>
                <c:pt idx="428">
                  <c:v>-217.35021974224767</c:v>
                </c:pt>
                <c:pt idx="429">
                  <c:v>-217.53170877164757</c:v>
                </c:pt>
                <c:pt idx="430">
                  <c:v>-217.7123957832913</c:v>
                </c:pt>
                <c:pt idx="431">
                  <c:v>-217.89228635018287</c:v>
                </c:pt>
                <c:pt idx="432">
                  <c:v>-218.07138598544614</c:v>
                </c:pt>
                <c:pt idx="433">
                  <c:v>-218.24970014343097</c:v>
                </c:pt>
                <c:pt idx="434">
                  <c:v>-218.42723422078944</c:v>
                </c:pt>
                <c:pt idx="435">
                  <c:v>-218.60399355752381</c:v>
                </c:pt>
                <c:pt idx="436">
                  <c:v>-218.7799834380063</c:v>
                </c:pt>
                <c:pt idx="437">
                  <c:v>-218.95520909197239</c:v>
                </c:pt>
                <c:pt idx="438">
                  <c:v>-219.12967569548766</c:v>
                </c:pt>
                <c:pt idx="439">
                  <c:v>-219.3033883718897</c:v>
                </c:pt>
                <c:pt idx="440">
                  <c:v>-219.47635219270506</c:v>
                </c:pt>
                <c:pt idx="441">
                  <c:v>-219.64857217854325</c:v>
                </c:pt>
                <c:pt idx="442">
                  <c:v>-219.82005329996684</c:v>
                </c:pt>
                <c:pt idx="443">
                  <c:v>-219.99080047833991</c:v>
                </c:pt>
                <c:pt idx="444">
                  <c:v>-220.1608185866545</c:v>
                </c:pt>
                <c:pt idx="445">
                  <c:v>-220.33011245033649</c:v>
                </c:pt>
                <c:pt idx="446">
                  <c:v>-220.49868684803045</c:v>
                </c:pt>
                <c:pt idx="447">
                  <c:v>-220.66654651236581</c:v>
                </c:pt>
                <c:pt idx="448">
                  <c:v>-220.83369613070289</c:v>
                </c:pt>
                <c:pt idx="449">
                  <c:v>-221.00014034586104</c:v>
                </c:pt>
                <c:pt idx="450">
                  <c:v>-221.16588375682861</c:v>
                </c:pt>
                <c:pt idx="451">
                  <c:v>-221.3309309194554</c:v>
                </c:pt>
                <c:pt idx="452">
                  <c:v>-221.4952863471284</c:v>
                </c:pt>
                <c:pt idx="453">
                  <c:v>-221.65895451143081</c:v>
                </c:pt>
                <c:pt idx="454">
                  <c:v>-221.82193984278547</c:v>
                </c:pt>
                <c:pt idx="455">
                  <c:v>-221.98424673108258</c:v>
                </c:pt>
                <c:pt idx="456">
                  <c:v>-222.14587952629265</c:v>
                </c:pt>
                <c:pt idx="457">
                  <c:v>-222.30684253906458</c:v>
                </c:pt>
                <c:pt idx="458">
                  <c:v>-222.46714004131005</c:v>
                </c:pt>
                <c:pt idx="459">
                  <c:v>-222.62677626677385</c:v>
                </c:pt>
                <c:pt idx="460">
                  <c:v>-222.785755411591</c:v>
                </c:pt>
                <c:pt idx="461">
                  <c:v>-222.94408163483109</c:v>
                </c:pt>
                <c:pt idx="462">
                  <c:v>-223.10175905902994</c:v>
                </c:pt>
                <c:pt idx="463">
                  <c:v>-223.25879177070908</c:v>
                </c:pt>
                <c:pt idx="464">
                  <c:v>-223.41518382088356</c:v>
                </c:pt>
                <c:pt idx="465">
                  <c:v>-223.57093922555805</c:v>
                </c:pt>
                <c:pt idx="466">
                  <c:v>-223.72606196621194</c:v>
                </c:pt>
                <c:pt idx="467">
                  <c:v>-223.88055599027379</c:v>
                </c:pt>
                <c:pt idx="468">
                  <c:v>-224.03442521158485</c:v>
                </c:pt>
                <c:pt idx="469">
                  <c:v>-224.18767351085256</c:v>
                </c:pt>
                <c:pt idx="470">
                  <c:v>-224.3403047360944</c:v>
                </c:pt>
                <c:pt idx="471">
                  <c:v>-224.49232270307158</c:v>
                </c:pt>
                <c:pt idx="472">
                  <c:v>-224.64373119571377</c:v>
                </c:pt>
                <c:pt idx="473">
                  <c:v>-224.7945339665346</c:v>
                </c:pt>
                <c:pt idx="474">
                  <c:v>-224.9447347370382</c:v>
                </c:pt>
                <c:pt idx="475">
                  <c:v>-225.09433719811727</c:v>
                </c:pt>
                <c:pt idx="476">
                  <c:v>-225.24334501044282</c:v>
                </c:pt>
                <c:pt idx="477">
                  <c:v>-225.39176180484566</c:v>
                </c:pt>
                <c:pt idx="478">
                  <c:v>-225.53959118269006</c:v>
                </c:pt>
                <c:pt idx="479">
                  <c:v>-225.68683671623975</c:v>
                </c:pt>
                <c:pt idx="480">
                  <c:v>-225.83350194901635</c:v>
                </c:pt>
                <c:pt idx="481">
                  <c:v>-225.97959039615077</c:v>
                </c:pt>
                <c:pt idx="482">
                  <c:v>-226.12510554472715</c:v>
                </c:pt>
                <c:pt idx="483">
                  <c:v>-226.27005085412037</c:v>
                </c:pt>
                <c:pt idx="484">
                  <c:v>-226.41442975632651</c:v>
                </c:pt>
                <c:pt idx="485">
                  <c:v>-226.55824565628714</c:v>
                </c:pt>
                <c:pt idx="486">
                  <c:v>-226.70150193220707</c:v>
                </c:pt>
                <c:pt idx="487">
                  <c:v>-226.84420193586575</c:v>
                </c:pt>
                <c:pt idx="488">
                  <c:v>-226.98634899292327</c:v>
                </c:pt>
                <c:pt idx="489">
                  <c:v>-227.12794640321991</c:v>
                </c:pt>
                <c:pt idx="490">
                  <c:v>-227.26899744107047</c:v>
                </c:pt>
                <c:pt idx="491">
                  <c:v>-227.40950535555265</c:v>
                </c:pt>
                <c:pt idx="492">
                  <c:v>-227.54947337079059</c:v>
                </c:pt>
                <c:pt idx="493">
                  <c:v>-227.68890468623258</c:v>
                </c:pt>
                <c:pt idx="494">
                  <c:v>-227.82780247692418</c:v>
                </c:pt>
                <c:pt idx="495">
                  <c:v>-227.96616989377597</c:v>
                </c:pt>
                <c:pt idx="496">
                  <c:v>-228.10401006382676</c:v>
                </c:pt>
                <c:pt idx="497">
                  <c:v>-228.24132609050207</c:v>
                </c:pt>
                <c:pt idx="498">
                  <c:v>-228.3781210538676</c:v>
                </c:pt>
                <c:pt idx="499">
                  <c:v>-228.51439801087892</c:v>
                </c:pt>
                <c:pt idx="500">
                  <c:v>-228.65015999562618</c:v>
                </c:pt>
                <c:pt idx="501">
                  <c:v>-228.78541001957487</c:v>
                </c:pt>
                <c:pt idx="502">
                  <c:v>-228.92015107180259</c:v>
                </c:pt>
                <c:pt idx="503">
                  <c:v>-229.05438611923137</c:v>
                </c:pt>
                <c:pt idx="504">
                  <c:v>-229.18811810685625</c:v>
                </c:pt>
                <c:pt idx="505">
                  <c:v>-229.3213499579702</c:v>
                </c:pt>
                <c:pt idx="506">
                  <c:v>-229.45408457438521</c:v>
                </c:pt>
                <c:pt idx="507">
                  <c:v>-229.58632483664945</c:v>
                </c:pt>
                <c:pt idx="508">
                  <c:v>-229.71807360426118</c:v>
                </c:pt>
                <c:pt idx="509">
                  <c:v>-229.8493337158792</c:v>
                </c:pt>
                <c:pt idx="510">
                  <c:v>-229.98010798952976</c:v>
                </c:pt>
                <c:pt idx="511">
                  <c:v>-230.11039922281014</c:v>
                </c:pt>
                <c:pt idx="512">
                  <c:v>-230.24021019308927</c:v>
                </c:pt>
                <c:pt idx="513">
                  <c:v>-230.36954365770481</c:v>
                </c:pt>
                <c:pt idx="514">
                  <c:v>-230.49840235415755</c:v>
                </c:pt>
                <c:pt idx="515">
                  <c:v>-230.62678900030258</c:v>
                </c:pt>
                <c:pt idx="516">
                  <c:v>-230.75470629453758</c:v>
                </c:pt>
                <c:pt idx="517">
                  <c:v>-230.88215691598816</c:v>
                </c:pt>
                <c:pt idx="518">
                  <c:v>-231.00914352469078</c:v>
                </c:pt>
                <c:pt idx="519">
                  <c:v>-231.13566876177239</c:v>
                </c:pt>
                <c:pt idx="520">
                  <c:v>-231.26173524962772</c:v>
                </c:pt>
                <c:pt idx="521">
                  <c:v>-231.38734559209416</c:v>
                </c:pt>
                <c:pt idx="522">
                  <c:v>-231.51250237462372</c:v>
                </c:pt>
                <c:pt idx="523">
                  <c:v>-231.63720816445243</c:v>
                </c:pt>
                <c:pt idx="524">
                  <c:v>-231.76146551076801</c:v>
                </c:pt>
                <c:pt idx="525">
                  <c:v>-231.88527694487433</c:v>
                </c:pt>
                <c:pt idx="526">
                  <c:v>-232.00864498035398</c:v>
                </c:pt>
                <c:pt idx="527">
                  <c:v>-232.13157211322863</c:v>
                </c:pt>
                <c:pt idx="528">
                  <c:v>-232.25406082211694</c:v>
                </c:pt>
                <c:pt idx="529">
                  <c:v>-232.37611356839028</c:v>
                </c:pt>
                <c:pt idx="530">
                  <c:v>-232.49773279632683</c:v>
                </c:pt>
                <c:pt idx="531">
                  <c:v>-232.61892093326261</c:v>
                </c:pt>
                <c:pt idx="532">
                  <c:v>-232.73968038974175</c:v>
                </c:pt>
                <c:pt idx="533">
                  <c:v>-232.86001355966357</c:v>
                </c:pt>
                <c:pt idx="534">
                  <c:v>-232.97992282042853</c:v>
                </c:pt>
                <c:pt idx="535">
                  <c:v>-233.09941053308191</c:v>
                </c:pt>
                <c:pt idx="536">
                  <c:v>-233.2184790424557</c:v>
                </c:pt>
                <c:pt idx="537">
                  <c:v>-233.33713067730864</c:v>
                </c:pt>
                <c:pt idx="538">
                  <c:v>-233.45536775046449</c:v>
                </c:pt>
                <c:pt idx="539">
                  <c:v>-233.57319255894862</c:v>
                </c:pt>
                <c:pt idx="540">
                  <c:v>-233.6906073841227</c:v>
                </c:pt>
                <c:pt idx="541">
                  <c:v>-233.80761449181793</c:v>
                </c:pt>
                <c:pt idx="542">
                  <c:v>-233.92421613246637</c:v>
                </c:pt>
                <c:pt idx="543">
                  <c:v>-234.04041454123094</c:v>
                </c:pt>
                <c:pt idx="544">
                  <c:v>-234.15621193813354</c:v>
                </c:pt>
                <c:pt idx="545">
                  <c:v>-234.2716105281819</c:v>
                </c:pt>
                <c:pt idx="546">
                  <c:v>-234.38661250149457</c:v>
                </c:pt>
                <c:pt idx="547">
                  <c:v>-234.50122003342491</c:v>
                </c:pt>
                <c:pt idx="548">
                  <c:v>-234.61543528468306</c:v>
                </c:pt>
                <c:pt idx="549">
                  <c:v>-234.72926040145677</c:v>
                </c:pt>
                <c:pt idx="550">
                  <c:v>-234.84269751553089</c:v>
                </c:pt>
                <c:pt idx="551">
                  <c:v>-234.95574874440535</c:v>
                </c:pt>
                <c:pt idx="552">
                  <c:v>-235.06841619141167</c:v>
                </c:pt>
                <c:pt idx="553">
                  <c:v>-235.18070194582845</c:v>
                </c:pt>
                <c:pt idx="554">
                  <c:v>-235.29260808299514</c:v>
                </c:pt>
                <c:pt idx="555">
                  <c:v>-235.40413666442504</c:v>
                </c:pt>
                <c:pt idx="556">
                  <c:v>-235.51528973791656</c:v>
                </c:pt>
                <c:pt idx="557">
                  <c:v>-235.62606933766347</c:v>
                </c:pt>
                <c:pt idx="558">
                  <c:v>-235.73647748436389</c:v>
                </c:pt>
                <c:pt idx="559">
                  <c:v>-235.84651618532817</c:v>
                </c:pt>
                <c:pt idx="560">
                  <c:v>-235.95618743458547</c:v>
                </c:pt>
                <c:pt idx="561">
                  <c:v>-236.06549321298917</c:v>
                </c:pt>
                <c:pt idx="562">
                  <c:v>-236.17443548832142</c:v>
                </c:pt>
                <c:pt idx="563">
                  <c:v>-236.28301621539615</c:v>
                </c:pt>
                <c:pt idx="564">
                  <c:v>-236.39123733616123</c:v>
                </c:pt>
                <c:pt idx="565">
                  <c:v>-236.49910077979973</c:v>
                </c:pt>
                <c:pt idx="566">
                  <c:v>-236.60660846282971</c:v>
                </c:pt>
                <c:pt idx="567">
                  <c:v>-236.71376228920326</c:v>
                </c:pt>
                <c:pt idx="568">
                  <c:v>-236.82056415040432</c:v>
                </c:pt>
                <c:pt idx="569">
                  <c:v>-236.92701592554596</c:v>
                </c:pt>
                <c:pt idx="570">
                  <c:v>-237.03311948146586</c:v>
                </c:pt>
                <c:pt idx="571">
                  <c:v>-237.13887667282145</c:v>
                </c:pt>
                <c:pt idx="572">
                  <c:v>-237.24428934218412</c:v>
                </c:pt>
                <c:pt idx="573">
                  <c:v>-237.34935932013198</c:v>
                </c:pt>
                <c:pt idx="574">
                  <c:v>-237.45408842534204</c:v>
                </c:pt>
                <c:pt idx="575">
                  <c:v>-237.55847846468166</c:v>
                </c:pt>
                <c:pt idx="576">
                  <c:v>-237.66253123329847</c:v>
                </c:pt>
                <c:pt idx="577">
                  <c:v>-237.76624851471018</c:v>
                </c:pt>
                <c:pt idx="578">
                  <c:v>-237.86963208089287</c:v>
                </c:pt>
                <c:pt idx="579">
                  <c:v>-237.97268369236872</c:v>
                </c:pt>
                <c:pt idx="580">
                  <c:v>-238.07540509829295</c:v>
                </c:pt>
                <c:pt idx="581">
                  <c:v>-238.17779803653977</c:v>
                </c:pt>
                <c:pt idx="582">
                  <c:v>-238.27986423378746</c:v>
                </c:pt>
                <c:pt idx="583">
                  <c:v>-238.38160540560295</c:v>
                </c:pt>
                <c:pt idx="584">
                  <c:v>-238.48302325652517</c:v>
                </c:pt>
                <c:pt idx="585">
                  <c:v>-238.58411948014796</c:v>
                </c:pt>
                <c:pt idx="586">
                  <c:v>-238.68489575920199</c:v>
                </c:pt>
                <c:pt idx="587">
                  <c:v>-238.78535376563616</c:v>
                </c:pt>
                <c:pt idx="588">
                  <c:v>-238.88549516069781</c:v>
                </c:pt>
                <c:pt idx="589">
                  <c:v>-238.98532159501275</c:v>
                </c:pt>
                <c:pt idx="590">
                  <c:v>-239.08483470866412</c:v>
                </c:pt>
                <c:pt idx="591">
                  <c:v>-239.18403613127052</c:v>
                </c:pt>
                <c:pt idx="592">
                  <c:v>-239.28292748206394</c:v>
                </c:pt>
                <c:pt idx="593">
                  <c:v>-239.38151036996621</c:v>
                </c:pt>
                <c:pt idx="594">
                  <c:v>-239.47978639366545</c:v>
                </c:pt>
                <c:pt idx="595">
                  <c:v>-239.57775714169148</c:v>
                </c:pt>
                <c:pt idx="596">
                  <c:v>-239.67542419249048</c:v>
                </c:pt>
                <c:pt idx="597">
                  <c:v>-239.77278911449923</c:v>
                </c:pt>
                <c:pt idx="598">
                  <c:v>-239.86985346621867</c:v>
                </c:pt>
                <c:pt idx="599">
                  <c:v>-239.96661879628653</c:v>
                </c:pt>
                <c:pt idx="600">
                  <c:v>-240.06308664354952</c:v>
                </c:pt>
                <c:pt idx="601">
                  <c:v>-240.15925853713509</c:v>
                </c:pt>
                <c:pt idx="602">
                  <c:v>-240.25513599652203</c:v>
                </c:pt>
                <c:pt idx="603">
                  <c:v>-240.35072053161093</c:v>
                </c:pt>
                <c:pt idx="604">
                  <c:v>-240.44601364279387</c:v>
                </c:pt>
                <c:pt idx="605">
                  <c:v>-240.54101682102345</c:v>
                </c:pt>
                <c:pt idx="606">
                  <c:v>-244.95189958691157</c:v>
                </c:pt>
                <c:pt idx="607">
                  <c:v>-248.7969596782778</c:v>
                </c:pt>
                <c:pt idx="608">
                  <c:v>-252.19460495109158</c:v>
                </c:pt>
                <c:pt idx="609">
                  <c:v>-255.2335296496189</c:v>
                </c:pt>
                <c:pt idx="610">
                  <c:v>-257.98102127569962</c:v>
                </c:pt>
                <c:pt idx="611">
                  <c:v>-260.48876277934369</c:v>
                </c:pt>
                <c:pt idx="612">
                  <c:v>-262.79692754490509</c:v>
                </c:pt>
                <c:pt idx="613">
                  <c:v>-264.9370994032339</c:v>
                </c:pt>
                <c:pt idx="614">
                  <c:v>-266.93437731466531</c:v>
                </c:pt>
                <c:pt idx="615">
                  <c:v>-268.80890927513281</c:v>
                </c:pt>
                <c:pt idx="616">
                  <c:v>-270.57702276481746</c:v>
                </c:pt>
                <c:pt idx="617">
                  <c:v>-272.25206706708343</c:v>
                </c:pt>
                <c:pt idx="618">
                  <c:v>-272.95129313242137</c:v>
                </c:pt>
                <c:pt idx="619">
                  <c:v>-273.63611416863932</c:v>
                </c:pt>
                <c:pt idx="620">
                  <c:v>-274.30723268271254</c:v>
                </c:pt>
                <c:pt idx="621">
                  <c:v>-274.96530041234649</c:v>
                </c:pt>
                <c:pt idx="622">
                  <c:v>-275.61092277408062</c:v>
                </c:pt>
                <c:pt idx="623">
                  <c:v>-276.24466285865975</c:v>
                </c:pt>
                <c:pt idx="624">
                  <c:v>-276.86704502617295</c:v>
                </c:pt>
                <c:pt idx="625">
                  <c:v>-277.47855814664786</c:v>
                </c:pt>
                <c:pt idx="626">
                  <c:v>-278.07965852594953</c:v>
                </c:pt>
                <c:pt idx="627">
                  <c:v>-278.670772551818</c:v>
                </c:pt>
                <c:pt idx="628">
                  <c:v>-279.25229909055906</c:v>
                </c:pt>
                <c:pt idx="629">
                  <c:v>-279.8246116611723</c:v>
                </c:pt>
                <c:pt idx="630">
                  <c:v>-280.38806041047781</c:v>
                </c:pt>
                <c:pt idx="631">
                  <c:v>-280.94297391000282</c:v>
                </c:pt>
                <c:pt idx="632">
                  <c:v>-281.48966079296196</c:v>
                </c:pt>
                <c:pt idx="633">
                  <c:v>-282.02841124754571</c:v>
                </c:pt>
                <c:pt idx="634">
                  <c:v>-282.55949838089003</c:v>
                </c:pt>
                <c:pt idx="635">
                  <c:v>-283.08317946648179</c:v>
                </c:pt>
                <c:pt idx="636">
                  <c:v>-283.59969708634435</c:v>
                </c:pt>
                <c:pt idx="637">
                  <c:v>-284.10928017810664</c:v>
                </c:pt>
                <c:pt idx="638">
                  <c:v>-284.6121449959694</c:v>
                </c:pt>
                <c:pt idx="639">
                  <c:v>-285.10849599362098</c:v>
                </c:pt>
                <c:pt idx="640">
                  <c:v>-285.59852663631136</c:v>
                </c:pt>
                <c:pt idx="641">
                  <c:v>-286.08242014854181</c:v>
                </c:pt>
                <c:pt idx="642">
                  <c:v>-286.56035020316796</c:v>
                </c:pt>
                <c:pt idx="643">
                  <c:v>-287.03248155712612</c:v>
                </c:pt>
                <c:pt idx="644">
                  <c:v>-287.49897063847209</c:v>
                </c:pt>
                <c:pt idx="645">
                  <c:v>-287.95996608895922</c:v>
                </c:pt>
                <c:pt idx="646">
                  <c:v>-288.4156092659681</c:v>
                </c:pt>
                <c:pt idx="647">
                  <c:v>-288.86603470723577</c:v>
                </c:pt>
                <c:pt idx="648">
                  <c:v>-289.31137056150044</c:v>
                </c:pt>
                <c:pt idx="649">
                  <c:v>-289.75173898788694</c:v>
                </c:pt>
                <c:pt idx="650">
                  <c:v>-290.18725652659356</c:v>
                </c:pt>
                <c:pt idx="651">
                  <c:v>-290.61803444320611</c:v>
                </c:pt>
                <c:pt idx="652">
                  <c:v>-291.04417904875271</c:v>
                </c:pt>
                <c:pt idx="653">
                  <c:v>-291.46579199742354</c:v>
                </c:pt>
                <c:pt idx="654">
                  <c:v>-291.88297056370766</c:v>
                </c:pt>
                <c:pt idx="655">
                  <c:v>-292.29580790054524</c:v>
                </c:pt>
                <c:pt idx="656">
                  <c:v>-292.70439327995507</c:v>
                </c:pt>
                <c:pt idx="657">
                  <c:v>-293.10881231746976</c:v>
                </c:pt>
                <c:pt idx="658">
                  <c:v>-293.5091471815993</c:v>
                </c:pt>
                <c:pt idx="659">
                  <c:v>-293.90547678944017</c:v>
                </c:pt>
                <c:pt idx="660">
                  <c:v>-294.29787698945302</c:v>
                </c:pt>
                <c:pt idx="661">
                  <c:v>-294.68642073234889</c:v>
                </c:pt>
                <c:pt idx="662">
                  <c:v>-295.07117823094649</c:v>
                </c:pt>
                <c:pt idx="663">
                  <c:v>-295.45221710979263</c:v>
                </c:pt>
                <c:pt idx="664">
                  <c:v>-295.82960254527597</c:v>
                </c:pt>
                <c:pt idx="665">
                  <c:v>-296.20339739690411</c:v>
                </c:pt>
                <c:pt idx="666">
                  <c:v>-296.57366233036396</c:v>
                </c:pt>
                <c:pt idx="667">
                  <c:v>-296.94045593293481</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23.34981839036951</c:v>
                </c:pt>
                <c:pt idx="1">
                  <c:v>23.349818542543911</c:v>
                </c:pt>
                <c:pt idx="2">
                  <c:v>23.349818796167913</c:v>
                </c:pt>
                <c:pt idx="3">
                  <c:v>23.34981915124153</c:v>
                </c:pt>
                <c:pt idx="4">
                  <c:v>23.349819607764751</c:v>
                </c:pt>
                <c:pt idx="5">
                  <c:v>23.349820165737608</c:v>
                </c:pt>
                <c:pt idx="6">
                  <c:v>23.349820825160098</c:v>
                </c:pt>
                <c:pt idx="7">
                  <c:v>23.349821586032231</c:v>
                </c:pt>
                <c:pt idx="8">
                  <c:v>23.349822448354033</c:v>
                </c:pt>
                <c:pt idx="9">
                  <c:v>23.349823412125513</c:v>
                </c:pt>
                <c:pt idx="10">
                  <c:v>23.349838629577956</c:v>
                </c:pt>
                <c:pt idx="11">
                  <c:v>23.349863992032198</c:v>
                </c:pt>
                <c:pt idx="12">
                  <c:v>23.349899499538456</c:v>
                </c:pt>
                <c:pt idx="13">
                  <c:v>23.349945152167081</c:v>
                </c:pt>
                <c:pt idx="14">
                  <c:v>23.350000950008486</c:v>
                </c:pt>
                <c:pt idx="15">
                  <c:v>23.350066893173192</c:v>
                </c:pt>
                <c:pt idx="16">
                  <c:v>23.350142981791816</c:v>
                </c:pt>
                <c:pt idx="17">
                  <c:v>23.350229216015062</c:v>
                </c:pt>
                <c:pt idx="18">
                  <c:v>23.350325596013718</c:v>
                </c:pt>
                <c:pt idx="19">
                  <c:v>23.351847465585443</c:v>
                </c:pt>
                <c:pt idx="20">
                  <c:v>23.354384249690714</c:v>
                </c:pt>
                <c:pt idx="21">
                  <c:v>23.357936450335941</c:v>
                </c:pt>
                <c:pt idx="22">
                  <c:v>23.362504769883085</c:v>
                </c:pt>
                <c:pt idx="23">
                  <c:v>23.368090110596548</c:v>
                </c:pt>
                <c:pt idx="24">
                  <c:v>23.3746935740518</c:v>
                </c:pt>
                <c:pt idx="25">
                  <c:v>23.382316460399114</c:v>
                </c:pt>
                <c:pt idx="26">
                  <c:v>23.390960267474078</c:v>
                </c:pt>
                <c:pt idx="27">
                  <c:v>23.400626689745138</c:v>
                </c:pt>
                <c:pt idx="28">
                  <c:v>23.464370928745794</c:v>
                </c:pt>
                <c:pt idx="29">
                  <c:v>23.554045043552676</c:v>
                </c:pt>
                <c:pt idx="30">
                  <c:v>23.670070476951729</c:v>
                </c:pt>
                <c:pt idx="31">
                  <c:v>23.812970570631649</c:v>
                </c:pt>
                <c:pt idx="32">
                  <c:v>23.983350504470632</c:v>
                </c:pt>
                <c:pt idx="33">
                  <c:v>24.181864554375124</c:v>
                </c:pt>
                <c:pt idx="34">
                  <c:v>24.409163548836879</c:v>
                </c:pt>
                <c:pt idx="35">
                  <c:v>24.665811633199432</c:v>
                </c:pt>
                <c:pt idx="36">
                  <c:v>24.952155835300086</c:v>
                </c:pt>
                <c:pt idx="37">
                  <c:v>25.268123751943104</c:v>
                </c:pt>
                <c:pt idx="38">
                  <c:v>25.612913307622016</c:v>
                </c:pt>
                <c:pt idx="39">
                  <c:v>25.984524126480117</c:v>
                </c:pt>
                <c:pt idx="40">
                  <c:v>26.379065441673056</c:v>
                </c:pt>
                <c:pt idx="41">
                  <c:v>26.789770559090904</c:v>
                </c:pt>
                <c:pt idx="42">
                  <c:v>27.205678264038745</c:v>
                </c:pt>
                <c:pt idx="43">
                  <c:v>27.610060499497848</c:v>
                </c:pt>
                <c:pt idx="44">
                  <c:v>27.978966243626679</c:v>
                </c:pt>
                <c:pt idx="45">
                  <c:v>28.280770078177341</c:v>
                </c:pt>
                <c:pt idx="46">
                  <c:v>28.478188080265991</c:v>
                </c:pt>
                <c:pt idx="47">
                  <c:v>28.534143173253828</c:v>
                </c:pt>
                <c:pt idx="48">
                  <c:v>28.421063734109651</c:v>
                </c:pt>
                <c:pt idx="49">
                  <c:v>28.12988827627802</c:v>
                </c:pt>
                <c:pt idx="50">
                  <c:v>27.673359025962007</c:v>
                </c:pt>
                <c:pt idx="51">
                  <c:v>27.081306426387954</c:v>
                </c:pt>
                <c:pt idx="52">
                  <c:v>26.391165755751299</c:v>
                </c:pt>
                <c:pt idx="53">
                  <c:v>25.639146406793071</c:v>
                </c:pt>
                <c:pt idx="54">
                  <c:v>24.855146281109374</c:v>
                </c:pt>
                <c:pt idx="55">
                  <c:v>24.061327737695706</c:v>
                </c:pt>
                <c:pt idx="56">
                  <c:v>23.272855229522765</c:v>
                </c:pt>
                <c:pt idx="57">
                  <c:v>22.499421147192468</c:v>
                </c:pt>
                <c:pt idx="58">
                  <c:v>21.746784716244463</c:v>
                </c:pt>
                <c:pt idx="59">
                  <c:v>21.018026202676605</c:v>
                </c:pt>
                <c:pt idx="60">
                  <c:v>20.314469986602592</c:v>
                </c:pt>
                <c:pt idx="61">
                  <c:v>19.636326552907999</c:v>
                </c:pt>
                <c:pt idx="62">
                  <c:v>18.983124056141818</c:v>
                </c:pt>
                <c:pt idx="63">
                  <c:v>18.353992041530198</c:v>
                </c:pt>
                <c:pt idx="64">
                  <c:v>17.747844870422359</c:v>
                </c:pt>
                <c:pt idx="65">
                  <c:v>17.163498471742066</c:v>
                </c:pt>
                <c:pt idx="66">
                  <c:v>16.599743311658901</c:v>
                </c:pt>
                <c:pt idx="67">
                  <c:v>16.055388849980119</c:v>
                </c:pt>
                <c:pt idx="68">
                  <c:v>15.529289553196062</c:v>
                </c:pt>
                <c:pt idx="69">
                  <c:v>15.02035906593056</c:v>
                </c:pt>
                <c:pt idx="70">
                  <c:v>14.527576854982341</c:v>
                </c:pt>
                <c:pt idx="71">
                  <c:v>14.049990139406789</c:v>
                </c:pt>
                <c:pt idx="72">
                  <c:v>13.586712937452283</c:v>
                </c:pt>
                <c:pt idx="73">
                  <c:v>13.136923417813984</c:v>
                </c:pt>
                <c:pt idx="74">
                  <c:v>12.699860321143682</c:v>
                </c:pt>
                <c:pt idx="75">
                  <c:v>12.274818941359806</c:v>
                </c:pt>
                <c:pt idx="76">
                  <c:v>11.861146975041343</c:v>
                </c:pt>
                <c:pt idx="77">
                  <c:v>11.45824042844475</c:v>
                </c:pt>
                <c:pt idx="78">
                  <c:v>11.065539694121167</c:v>
                </c:pt>
                <c:pt idx="79">
                  <c:v>10.682525858737593</c:v>
                </c:pt>
                <c:pt idx="80">
                  <c:v>10.308717271304332</c:v>
                </c:pt>
                <c:pt idx="81">
                  <c:v>9.9436663804929442</c:v>
                </c:pt>
                <c:pt idx="82">
                  <c:v>9.5869568370574108</c:v>
                </c:pt>
                <c:pt idx="83">
                  <c:v>9.2382008498623804</c:v>
                </c:pt>
                <c:pt idx="84">
                  <c:v>8.8970367798890635</c:v>
                </c:pt>
                <c:pt idx="85">
                  <c:v>8.5631269546391913</c:v>
                </c:pt>
                <c:pt idx="86">
                  <c:v>8.2361556847968558</c:v>
                </c:pt>
                <c:pt idx="87">
                  <c:v>7.9158274653078378</c:v>
                </c:pt>
                <c:pt idx="88">
                  <c:v>7.6018653438468036</c:v>
                </c:pt>
                <c:pt idx="89">
                  <c:v>7.2940094407342855</c:v>
                </c:pt>
                <c:pt idx="90">
                  <c:v>6.9920156055878513</c:v>
                </c:pt>
                <c:pt idx="91">
                  <c:v>6.6956541972502501</c:v>
                </c:pt>
                <c:pt idx="92">
                  <c:v>6.4047089747719816</c:v>
                </c:pt>
                <c:pt idx="93">
                  <c:v>6.1189760884014479</c:v>
                </c:pt>
                <c:pt idx="94">
                  <c:v>5.8382631606338169</c:v>
                </c:pt>
                <c:pt idx="95">
                  <c:v>5.5623884483802328</c:v>
                </c:pt>
                <c:pt idx="96">
                  <c:v>5.2911800782409246</c:v>
                </c:pt>
                <c:pt idx="97">
                  <c:v>5.0244753476996973</c:v>
                </c:pt>
                <c:pt idx="98">
                  <c:v>4.7621200858089665</c:v>
                </c:pt>
                <c:pt idx="99">
                  <c:v>4.5039680676083851</c:v>
                </c:pt>
                <c:pt idx="100">
                  <c:v>4.2498804771234502</c:v>
                </c:pt>
                <c:pt idx="101">
                  <c:v>3.9997254143289807</c:v>
                </c:pt>
                <c:pt idx="102">
                  <c:v>3.7533774419429</c:v>
                </c:pt>
                <c:pt idx="103">
                  <c:v>3.5107171683437937</c:v>
                </c:pt>
                <c:pt idx="104">
                  <c:v>3.2716308632871502</c:v>
                </c:pt>
                <c:pt idx="105">
                  <c:v>3.0360101034347533</c:v>
                </c:pt>
                <c:pt idx="106">
                  <c:v>2.8037514450144392</c:v>
                </c:pt>
                <c:pt idx="107">
                  <c:v>2.5747561211967973</c:v>
                </c:pt>
                <c:pt idx="108">
                  <c:v>2.3489297620159744</c:v>
                </c:pt>
                <c:pt idx="109">
                  <c:v>2.1261821348759273</c:v>
                </c:pt>
                <c:pt idx="110">
                  <c:v>1.9064269038750312</c:v>
                </c:pt>
                <c:pt idx="111">
                  <c:v>1.6895814063527104</c:v>
                </c:pt>
                <c:pt idx="112">
                  <c:v>1.4755664452148354</c:v>
                </c:pt>
                <c:pt idx="113">
                  <c:v>1.2643060957312104</c:v>
                </c:pt>
                <c:pt idx="114">
                  <c:v>1.055727525621194</c:v>
                </c:pt>
                <c:pt idx="115">
                  <c:v>0.84976082735322089</c:v>
                </c:pt>
                <c:pt idx="116">
                  <c:v>0.6463388616827358</c:v>
                </c:pt>
                <c:pt idx="117">
                  <c:v>0.44539711154154238</c:v>
                </c:pt>
                <c:pt idx="118">
                  <c:v>0.24687354547132567</c:v>
                </c:pt>
                <c:pt idx="119">
                  <c:v>5.0708489865824789E-2</c:v>
                </c:pt>
                <c:pt idx="120">
                  <c:v>-0.14315549064918315</c:v>
                </c:pt>
                <c:pt idx="121">
                  <c:v>-0.33477370531063833</c:v>
                </c:pt>
                <c:pt idx="122">
                  <c:v>-0.52419944234746951</c:v>
                </c:pt>
                <c:pt idx="123">
                  <c:v>-0.71148406765659078</c:v>
                </c:pt>
                <c:pt idx="124">
                  <c:v>-0.89667711749470014</c:v>
                </c:pt>
                <c:pt idx="125">
                  <c:v>-1.0798263856158887</c:v>
                </c:pt>
                <c:pt idx="126">
                  <c:v>-1.2609780052496018</c:v>
                </c:pt>
                <c:pt idx="127">
                  <c:v>-1.4401765262814363</c:v>
                </c:pt>
                <c:pt idx="128">
                  <c:v>-1.6174649879698997</c:v>
                </c:pt>
                <c:pt idx="129">
                  <c:v>-1.7928849875058372</c:v>
                </c:pt>
                <c:pt idx="130">
                  <c:v>-1.9664767446967995</c:v>
                </c:pt>
                <c:pt idx="131">
                  <c:v>-2.1382791630368359</c:v>
                </c:pt>
                <c:pt idx="132">
                  <c:v>-2.3083298874018232</c:v>
                </c:pt>
                <c:pt idx="133">
                  <c:v>-2.4766653585921956</c:v>
                </c:pt>
                <c:pt idx="134">
                  <c:v>-2.6433208649281403</c:v>
                </c:pt>
                <c:pt idx="135">
                  <c:v>-2.8083305910869045</c:v>
                </c:pt>
                <c:pt idx="136">
                  <c:v>-2.9717276643578074</c:v>
                </c:pt>
                <c:pt idx="137">
                  <c:v>-3.1335441984776669</c:v>
                </c:pt>
                <c:pt idx="138">
                  <c:v>-3.2938113351975185</c:v>
                </c:pt>
                <c:pt idx="139">
                  <c:v>-3.4525592837206358</c:v>
                </c:pt>
                <c:pt idx="140">
                  <c:v>-3.609817358141902</c:v>
                </c:pt>
                <c:pt idx="141">
                  <c:v>-3.7656140130093259</c:v>
                </c:pt>
                <c:pt idx="142">
                  <c:v>-3.9199768771202064</c:v>
                </c:pt>
                <c:pt idx="143">
                  <c:v>-4.0729327856565316</c:v>
                </c:pt>
                <c:pt idx="144">
                  <c:v>-4.2245078107570428</c:v>
                </c:pt>
                <c:pt idx="145">
                  <c:v>-4.3747272906168657</c:v>
                </c:pt>
                <c:pt idx="146">
                  <c:v>-4.5236158571994158</c:v>
                </c:pt>
                <c:pt idx="147">
                  <c:v>-4.6711974626396362</c:v>
                </c:pt>
                <c:pt idx="148">
                  <c:v>-4.8174954044125258</c:v>
                </c:pt>
                <c:pt idx="149">
                  <c:v>-4.9625323493359206</c:v>
                </c:pt>
                <c:pt idx="150">
                  <c:v>-5.106330356472105</c:v>
                </c:pt>
                <c:pt idx="151">
                  <c:v>-5.2489108989887399</c:v>
                </c:pt>
                <c:pt idx="152">
                  <c:v>-5.3902948850356207</c:v>
                </c:pt>
                <c:pt idx="153">
                  <c:v>-5.5305026776903006</c:v>
                </c:pt>
                <c:pt idx="154">
                  <c:v>-5.6695541140223229</c:v>
                </c:pt>
                <c:pt idx="155">
                  <c:v>-5.8074685233226253</c:v>
                </c:pt>
                <c:pt idx="156">
                  <c:v>-5.9442647445419361</c:v>
                </c:pt>
                <c:pt idx="157">
                  <c:v>-6.0799611429792151</c:v>
                </c:pt>
                <c:pt idx="158">
                  <c:v>-6.2145756262588066</c:v>
                </c:pt>
                <c:pt idx="159">
                  <c:v>-6.3481256596325988</c:v>
                </c:pt>
                <c:pt idx="160">
                  <c:v>-6.4806282806413655</c:v>
                </c:pt>
                <c:pt idx="161">
                  <c:v>-6.6121001131674042</c:v>
                </c:pt>
                <c:pt idx="162">
                  <c:v>-6.7425573809087993</c:v>
                </c:pt>
                <c:pt idx="163">
                  <c:v>-6.8720159203038422</c:v>
                </c:pt>
                <c:pt idx="164">
                  <c:v>-7.0004911929324409</c:v>
                </c:pt>
                <c:pt idx="165">
                  <c:v>-7.1279982974199569</c:v>
                </c:pt>
                <c:pt idx="166">
                  <c:v>-7.2545519808673795</c:v>
                </c:pt>
                <c:pt idx="167">
                  <c:v>-7.3801666498304179</c:v>
                </c:pt>
                <c:pt idx="168">
                  <c:v>-7.5048563808688886</c:v>
                </c:pt>
                <c:pt idx="169">
                  <c:v>-7.6286349306865446</c:v>
                </c:pt>
                <c:pt idx="170">
                  <c:v>-7.7515157458804165</c:v>
                </c:pt>
                <c:pt idx="171">
                  <c:v>-7.8735119723177363</c:v>
                </c:pt>
                <c:pt idx="172">
                  <c:v>-7.9946364641574483</c:v>
                </c:pt>
                <c:pt idx="173">
                  <c:v>-8.1149017925325353</c:v>
                </c:pt>
                <c:pt idx="174">
                  <c:v>-8.2343202539084128</c:v>
                </c:pt>
                <c:pt idx="175">
                  <c:v>-8.3529038781319027</c:v>
                </c:pt>
                <c:pt idx="176">
                  <c:v>-8.4706644361845544</c:v>
                </c:pt>
                <c:pt idx="177">
                  <c:v>-8.5876134476533199</c:v>
                </c:pt>
                <c:pt idx="178">
                  <c:v>-8.7037621879309519</c:v>
                </c:pt>
                <c:pt idx="179">
                  <c:v>-8.819121695157877</c:v>
                </c:pt>
                <c:pt idx="180">
                  <c:v>-8.9337027769166664</c:v>
                </c:pt>
                <c:pt idx="181">
                  <c:v>-9.047516016689702</c:v>
                </c:pt>
                <c:pt idx="182">
                  <c:v>-9.1605717800900894</c:v>
                </c:pt>
                <c:pt idx="183">
                  <c:v>-9.2728802208753596</c:v>
                </c:pt>
                <c:pt idx="184">
                  <c:v>-9.384451286753098</c:v>
                </c:pt>
                <c:pt idx="185">
                  <c:v>-9.4952947249870654</c:v>
                </c:pt>
                <c:pt idx="186">
                  <c:v>-9.6054200878121314</c:v>
                </c:pt>
                <c:pt idx="187">
                  <c:v>-9.714836737665788</c:v>
                </c:pt>
                <c:pt idx="188">
                  <c:v>-9.8235538522437267</c:v>
                </c:pt>
                <c:pt idx="189">
                  <c:v>-9.9315804293865746</c:v>
                </c:pt>
                <c:pt idx="190">
                  <c:v>-10.038925291804571</c:v>
                </c:pt>
                <c:pt idx="191">
                  <c:v>-10.145597091646641</c:v>
                </c:pt>
                <c:pt idx="192">
                  <c:v>-10.251604314920007</c:v>
                </c:pt>
                <c:pt idx="193">
                  <c:v>-10.356955285766213</c:v>
                </c:pt>
                <c:pt idx="194">
                  <c:v>-10.461658170599197</c:v>
                </c:pt>
                <c:pt idx="195">
                  <c:v>-10.565720982110687</c:v>
                </c:pt>
                <c:pt idx="196">
                  <c:v>-10.669151583148091</c:v>
                </c:pt>
                <c:pt idx="197">
                  <c:v>-10.771957690469771</c:v>
                </c:pt>
                <c:pt idx="198">
                  <c:v>-10.874146878382264</c:v>
                </c:pt>
                <c:pt idx="199">
                  <c:v>-10.975726582264031</c:v>
                </c:pt>
                <c:pt idx="200">
                  <c:v>-11.07670410197986</c:v>
                </c:pt>
                <c:pt idx="201">
                  <c:v>-11.177086605190125</c:v>
                </c:pt>
                <c:pt idx="202">
                  <c:v>-11.276881130558705</c:v>
                </c:pt>
                <c:pt idx="203">
                  <c:v>-11.376094590863294</c:v>
                </c:pt>
                <c:pt idx="204">
                  <c:v>-11.474733776011748</c:v>
                </c:pt>
                <c:pt idx="205">
                  <c:v>-11.572805355967741</c:v>
                </c:pt>
                <c:pt idx="206">
                  <c:v>-11.670315883589177</c:v>
                </c:pt>
                <c:pt idx="207">
                  <c:v>-11.767271797382342</c:v>
                </c:pt>
                <c:pt idx="208">
                  <c:v>-11.863679424174851</c:v>
                </c:pt>
                <c:pt idx="209">
                  <c:v>-11.959544981710312</c:v>
                </c:pt>
                <c:pt idx="210">
                  <c:v>-12.054874581167368</c:v>
                </c:pt>
                <c:pt idx="211">
                  <c:v>-12.149674229605855</c:v>
                </c:pt>
                <c:pt idx="212">
                  <c:v>-12.243949832342558</c:v>
                </c:pt>
                <c:pt idx="213">
                  <c:v>-12.337707195259011</c:v>
                </c:pt>
                <c:pt idx="214">
                  <c:v>-12.430952027043681</c:v>
                </c:pt>
                <c:pt idx="215">
                  <c:v>-12.523689941370776</c:v>
                </c:pt>
                <c:pt idx="216">
                  <c:v>-12.615926459017832</c:v>
                </c:pt>
                <c:pt idx="217">
                  <c:v>-12.707667009924124</c:v>
                </c:pt>
                <c:pt idx="218">
                  <c:v>-12.798916935191947</c:v>
                </c:pt>
                <c:pt idx="219">
                  <c:v>-12.889681489032574</c:v>
                </c:pt>
                <c:pt idx="220">
                  <c:v>-12.979965840658858</c:v>
                </c:pt>
                <c:pt idx="221">
                  <c:v>-13.069775076126088</c:v>
                </c:pt>
                <c:pt idx="222">
                  <c:v>-13.159114200122941</c:v>
                </c:pt>
                <c:pt idx="223">
                  <c:v>-13.247988137714042</c:v>
                </c:pt>
                <c:pt idx="224">
                  <c:v>-13.336401736035789</c:v>
                </c:pt>
                <c:pt idx="225">
                  <c:v>-13.424359765946885</c:v>
                </c:pt>
                <c:pt idx="226">
                  <c:v>-14.27988194660289</c:v>
                </c:pt>
                <c:pt idx="227">
                  <c:v>-15.094585696345323</c:v>
                </c:pt>
                <c:pt idx="228">
                  <c:v>-15.872199997410974</c:v>
                </c:pt>
                <c:pt idx="229">
                  <c:v>-16.61596040971304</c:v>
                </c:pt>
                <c:pt idx="230">
                  <c:v>-17.328693001121845</c:v>
                </c:pt>
                <c:pt idx="231">
                  <c:v>-18.012881065547756</c:v>
                </c:pt>
                <c:pt idx="232">
                  <c:v>-18.670718716462581</c:v>
                </c:pt>
                <c:pt idx="233">
                  <c:v>-19.304154349934311</c:v>
                </c:pt>
                <c:pt idx="234">
                  <c:v>-19.91492620073711</c:v>
                </c:pt>
                <c:pt idx="235">
                  <c:v>-20.504591663834255</c:v>
                </c:pt>
                <c:pt idx="236">
                  <c:v>-21.074551653569898</c:v>
                </c:pt>
                <c:pt idx="237">
                  <c:v>-21.626070978964847</c:v>
                </c:pt>
                <c:pt idx="238">
                  <c:v>-22.160295494913797</c:v>
                </c:pt>
                <c:pt idx="239">
                  <c:v>-22.678266624724394</c:v>
                </c:pt>
                <c:pt idx="240">
                  <c:v>-23.180933724601431</c:v>
                </c:pt>
                <c:pt idx="241">
                  <c:v>-23.669164664959943</c:v>
                </c:pt>
                <c:pt idx="242">
                  <c:v>-24.143754929408306</c:v>
                </c:pt>
                <c:pt idx="243">
                  <c:v>-24.605435474493753</c:v>
                </c:pt>
                <c:pt idx="244">
                  <c:v>-25.054879547914339</c:v>
                </c:pt>
                <c:pt idx="245">
                  <c:v>-25.492708626967811</c:v>
                </c:pt>
                <c:pt idx="246">
                  <c:v>-25.919497610365873</c:v>
                </c:pt>
                <c:pt idx="247">
                  <c:v>-26.335779373564883</c:v>
                </c:pt>
                <c:pt idx="248">
                  <c:v>-26.742048779219196</c:v>
                </c:pt>
                <c:pt idx="249">
                  <c:v>-27.138766219309673</c:v>
                </c:pt>
                <c:pt idx="250">
                  <c:v>-27.526360753214171</c:v>
                </c:pt>
                <c:pt idx="251">
                  <c:v>-27.905232895907893</c:v>
                </c:pt>
                <c:pt idx="252">
                  <c:v>-28.275757102172644</c:v>
                </c:pt>
                <c:pt idx="253">
                  <c:v>-28.638283985812684</c:v>
                </c:pt>
                <c:pt idx="254">
                  <c:v>-28.993142307150169</c:v>
                </c:pt>
                <c:pt idx="255">
                  <c:v>-29.34064075729075</c:v>
                </c:pt>
                <c:pt idx="256">
                  <c:v>-29.681069563638466</c:v>
                </c:pt>
                <c:pt idx="257">
                  <c:v>-30.014701937761387</c:v>
                </c:pt>
                <c:pt idx="258">
                  <c:v>-30.341795383854993</c:v>
                </c:pt>
                <c:pt idx="259">
                  <c:v>-30.662592883629141</c:v>
                </c:pt>
                <c:pt idx="260">
                  <c:v>-30.977323971384422</c:v>
                </c:pt>
                <c:pt idx="261">
                  <c:v>-31.28620571128473</c:v>
                </c:pt>
                <c:pt idx="262">
                  <c:v>-31.589443587326645</c:v>
                </c:pt>
                <c:pt idx="263">
                  <c:v>-31.887232315212309</c:v>
                </c:pt>
                <c:pt idx="264">
                  <c:v>-32.179756584217877</c:v>
                </c:pt>
                <c:pt idx="265">
                  <c:v>-32.467191736186813</c:v>
                </c:pt>
                <c:pt idx="266">
                  <c:v>-32.749704387943474</c:v>
                </c:pt>
                <c:pt idx="267">
                  <c:v>-33.027453002698017</c:v>
                </c:pt>
                <c:pt idx="268">
                  <c:v>-33.300588415383629</c:v>
                </c:pt>
                <c:pt idx="269">
                  <c:v>-33.569254316316631</c:v>
                </c:pt>
                <c:pt idx="270">
                  <c:v>-33.833587697089165</c:v>
                </c:pt>
                <c:pt idx="271">
                  <c:v>-34.093719262182404</c:v>
                </c:pt>
                <c:pt idx="272">
                  <c:v>-34.349773809417478</c:v>
                </c:pt>
                <c:pt idx="273">
                  <c:v>-34.601870582035687</c:v>
                </c:pt>
                <c:pt idx="274">
                  <c:v>-34.850123594911281</c:v>
                </c:pt>
                <c:pt idx="275">
                  <c:v>-35.094641937146449</c:v>
                </c:pt>
                <c:pt idx="276">
                  <c:v>-35.335530053072482</c:v>
                </c:pt>
                <c:pt idx="277">
                  <c:v>-35.572888003481665</c:v>
                </c:pt>
                <c:pt idx="278">
                  <c:v>-35.806811708736944</c:v>
                </c:pt>
                <c:pt idx="279">
                  <c:v>-36.037393175248255</c:v>
                </c:pt>
                <c:pt idx="280">
                  <c:v>-36.264720706663446</c:v>
                </c:pt>
                <c:pt idx="281">
                  <c:v>-36.488879100996293</c:v>
                </c:pt>
                <c:pt idx="282">
                  <c:v>-36.709949834800803</c:v>
                </c:pt>
                <c:pt idx="283">
                  <c:v>-36.928011235400852</c:v>
                </c:pt>
                <c:pt idx="284">
                  <c:v>-37.143138642093028</c:v>
                </c:pt>
                <c:pt idx="285">
                  <c:v>-37.355404557159744</c:v>
                </c:pt>
                <c:pt idx="286">
                  <c:v>-37.564878787456038</c:v>
                </c:pt>
                <c:pt idx="287">
                  <c:v>-37.771628577267755</c:v>
                </c:pt>
                <c:pt idx="288">
                  <c:v>-37.975718733079141</c:v>
                </c:pt>
                <c:pt idx="289">
                  <c:v>-38.177211740834224</c:v>
                </c:pt>
                <c:pt idx="290">
                  <c:v>-38.376167876227463</c:v>
                </c:pt>
                <c:pt idx="291">
                  <c:v>-38.572645308515291</c:v>
                </c:pt>
                <c:pt idx="292">
                  <c:v>-38.766700198300008</c:v>
                </c:pt>
                <c:pt idx="293">
                  <c:v>-38.958386789701279</c:v>
                </c:pt>
                <c:pt idx="294">
                  <c:v>-39.147757497297455</c:v>
                </c:pt>
                <c:pt idx="295">
                  <c:v>-39.334862988188874</c:v>
                </c:pt>
                <c:pt idx="296">
                  <c:v>-39.519752259507925</c:v>
                </c:pt>
                <c:pt idx="297">
                  <c:v>-39.702472711675739</c:v>
                </c:pt>
                <c:pt idx="298">
                  <c:v>-39.883070217682537</c:v>
                </c:pt>
                <c:pt idx="299">
                  <c:v>-40.061589188647773</c:v>
                </c:pt>
                <c:pt idx="300">
                  <c:v>-40.238072635897353</c:v>
                </c:pt>
                <c:pt idx="301">
                  <c:v>-40.41256222977745</c:v>
                </c:pt>
                <c:pt idx="302">
                  <c:v>-40.585098355408739</c:v>
                </c:pt>
                <c:pt idx="303">
                  <c:v>-40.755720165569926</c:v>
                </c:pt>
                <c:pt idx="304">
                  <c:v>-40.924465630886132</c:v>
                </c:pt>
                <c:pt idx="305">
                  <c:v>-41.091371587485348</c:v>
                </c:pt>
                <c:pt idx="306">
                  <c:v>-41.256473782274455</c:v>
                </c:pt>
                <c:pt idx="307">
                  <c:v>-41.419806915976174</c:v>
                </c:pt>
                <c:pt idx="308">
                  <c:v>-41.581404684058469</c:v>
                </c:pt>
                <c:pt idx="309">
                  <c:v>-41.741299815678886</c:v>
                </c:pt>
                <c:pt idx="310">
                  <c:v>-41.899524110758357</c:v>
                </c:pt>
                <c:pt idx="311">
                  <c:v>-42.056108475291005</c:v>
                </c:pt>
                <c:pt idx="312">
                  <c:v>-42.21108295498987</c:v>
                </c:pt>
                <c:pt idx="313">
                  <c:v>-42.364476767361566</c:v>
                </c:pt>
                <c:pt idx="314">
                  <c:v>-42.516318332297118</c:v>
                </c:pt>
                <c:pt idx="315">
                  <c:v>-42.666635301260513</c:v>
                </c:pt>
                <c:pt idx="316">
                  <c:v>-42.815454585151393</c:v>
                </c:pt>
                <c:pt idx="317">
                  <c:v>-42.962802380913374</c:v>
                </c:pt>
                <c:pt idx="318">
                  <c:v>-43.108704196955223</c:v>
                </c:pt>
                <c:pt idx="319">
                  <c:v>-43.253184877447694</c:v>
                </c:pt>
                <c:pt idx="320">
                  <c:v>-43.396268625555209</c:v>
                </c:pt>
                <c:pt idx="321">
                  <c:v>-43.537979025657975</c:v>
                </c:pt>
                <c:pt idx="322">
                  <c:v>-43.678339064616445</c:v>
                </c:pt>
                <c:pt idx="323">
                  <c:v>-43.817371152127464</c:v>
                </c:pt>
                <c:pt idx="324">
                  <c:v>-43.955097140217909</c:v>
                </c:pt>
                <c:pt idx="325">
                  <c:v>-44.091538341919659</c:v>
                </c:pt>
                <c:pt idx="326">
                  <c:v>-44.226715549166336</c:v>
                </c:pt>
                <c:pt idx="327">
                  <c:v>-44.360649049950737</c:v>
                </c:pt>
                <c:pt idx="328">
                  <c:v>-44.49335864477905</c:v>
                </c:pt>
                <c:pt idx="329">
                  <c:v>-44.624863662456207</c:v>
                </c:pt>
                <c:pt idx="330">
                  <c:v>-44.755182975234732</c:v>
                </c:pt>
                <c:pt idx="331">
                  <c:v>-44.884335013357514</c:v>
                </c:pt>
                <c:pt idx="332">
                  <c:v>-45.012337779023412</c:v>
                </c:pt>
                <c:pt idx="333">
                  <c:v>-45.13920885980292</c:v>
                </c:pt>
                <c:pt idx="334">
                  <c:v>-45.264965441529696</c:v>
                </c:pt>
                <c:pt idx="335">
                  <c:v>-45.389624320692128</c:v>
                </c:pt>
                <c:pt idx="336">
                  <c:v>-45.513201916348308</c:v>
                </c:pt>
                <c:pt idx="337">
                  <c:v>-45.635714281585862</c:v>
                </c:pt>
                <c:pt idx="338">
                  <c:v>-45.75717711454768</c:v>
                </c:pt>
                <c:pt idx="339">
                  <c:v>-45.877605769042795</c:v>
                </c:pt>
                <c:pt idx="340">
                  <c:v>-45.997015264761188</c:v>
                </c:pt>
                <c:pt idx="341">
                  <c:v>-46.11542029711007</c:v>
                </c:pt>
                <c:pt idx="342">
                  <c:v>-46.232835246688175</c:v>
                </c:pt>
                <c:pt idx="343">
                  <c:v>-46.349274188414249</c:v>
                </c:pt>
                <c:pt idx="344">
                  <c:v>-46.464750900324354</c:v>
                </c:pt>
                <c:pt idx="345">
                  <c:v>-46.579278872052676</c:v>
                </c:pt>
                <c:pt idx="346">
                  <c:v>-46.692871313009022</c:v>
                </c:pt>
                <c:pt idx="347">
                  <c:v>-46.805541160266273</c:v>
                </c:pt>
                <c:pt idx="348">
                  <c:v>-46.917301086169772</c:v>
                </c:pt>
                <c:pt idx="349">
                  <c:v>-47.028163505680453</c:v>
                </c:pt>
                <c:pt idx="350">
                  <c:v>-47.138140583462743</c:v>
                </c:pt>
                <c:pt idx="351">
                  <c:v>-47.247244240727895</c:v>
                </c:pt>
                <c:pt idx="352">
                  <c:v>-47.355486161842663</c:v>
                </c:pt>
                <c:pt idx="353">
                  <c:v>-47.462877800713017</c:v>
                </c:pt>
                <c:pt idx="354">
                  <c:v>-47.569430386951993</c:v>
                </c:pt>
                <c:pt idx="355">
                  <c:v>-47.675154931840382</c:v>
                </c:pt>
                <c:pt idx="356">
                  <c:v>-47.780062234088419</c:v>
                </c:pt>
                <c:pt idx="357">
                  <c:v>-47.884162885406674</c:v>
                </c:pt>
                <c:pt idx="358">
                  <c:v>-47.987467275893366</c:v>
                </c:pt>
                <c:pt idx="359">
                  <c:v>-48.089985599245523</c:v>
                </c:pt>
                <c:pt idx="360">
                  <c:v>-48.191727857800714</c:v>
                </c:pt>
                <c:pt idx="361">
                  <c:v>-48.292703867416122</c:v>
                </c:pt>
                <c:pt idx="362">
                  <c:v>-48.392923262190905</c:v>
                </c:pt>
                <c:pt idx="363">
                  <c:v>-48.492395499038153</c:v>
                </c:pt>
                <c:pt idx="364">
                  <c:v>-48.591129862112005</c:v>
                </c:pt>
                <c:pt idx="365">
                  <c:v>-48.689135467095355</c:v>
                </c:pt>
                <c:pt idx="366">
                  <c:v>-48.786421265353582</c:v>
                </c:pt>
                <c:pt idx="367">
                  <c:v>-48.882996047959054</c:v>
                </c:pt>
                <c:pt idx="368">
                  <c:v>-48.978868449591381</c:v>
                </c:pt>
                <c:pt idx="369">
                  <c:v>-49.0740469523179</c:v>
                </c:pt>
                <c:pt idx="370">
                  <c:v>-49.168539889258923</c:v>
                </c:pt>
                <c:pt idx="371">
                  <c:v>-49.262355448141705</c:v>
                </c:pt>
                <c:pt idx="372">
                  <c:v>-49.35550167474743</c:v>
                </c:pt>
                <c:pt idx="373">
                  <c:v>-49.447986476254819</c:v>
                </c:pt>
                <c:pt idx="374">
                  <c:v>-49.539817624484321</c:v>
                </c:pt>
                <c:pt idx="375">
                  <c:v>-49.631002759046183</c:v>
                </c:pt>
                <c:pt idx="376">
                  <c:v>-49.721549390395943</c:v>
                </c:pt>
                <c:pt idx="377">
                  <c:v>-49.811464902800566</c:v>
                </c:pt>
                <c:pt idx="378">
                  <c:v>-49.900756557218322</c:v>
                </c:pt>
                <c:pt idx="379">
                  <c:v>-49.989431494095491</c:v>
                </c:pt>
                <c:pt idx="380">
                  <c:v>-50.07749673608263</c:v>
                </c:pt>
                <c:pt idx="381">
                  <c:v>-50.164959190673329</c:v>
                </c:pt>
                <c:pt idx="382">
                  <c:v>-50.251825652767977</c:v>
                </c:pt>
                <c:pt idx="383">
                  <c:v>-50.338102807165129</c:v>
                </c:pt>
                <c:pt idx="384">
                  <c:v>-50.423797230983013</c:v>
                </c:pt>
                <c:pt idx="385">
                  <c:v>-50.50891539601335</c:v>
                </c:pt>
                <c:pt idx="386">
                  <c:v>-50.593463671009886</c:v>
                </c:pt>
                <c:pt idx="387">
                  <c:v>-50.677448323913794</c:v>
                </c:pt>
                <c:pt idx="388">
                  <c:v>-50.760875524017976</c:v>
                </c:pt>
                <c:pt idx="389">
                  <c:v>-50.843751344072345</c:v>
                </c:pt>
                <c:pt idx="390">
                  <c:v>-50.926081762331933</c:v>
                </c:pt>
                <c:pt idx="391">
                  <c:v>-51.007872664549794</c:v>
                </c:pt>
                <c:pt idx="392">
                  <c:v>-51.089129845916396</c:v>
                </c:pt>
                <c:pt idx="393">
                  <c:v>-51.169859012947263</c:v>
                </c:pt>
                <c:pt idx="394">
                  <c:v>-51.250065785320594</c:v>
                </c:pt>
                <c:pt idx="395">
                  <c:v>-51.329755697666258</c:v>
                </c:pt>
                <c:pt idx="396">
                  <c:v>-51.408934201308</c:v>
                </c:pt>
                <c:pt idx="397">
                  <c:v>-51.487606665959987</c:v>
                </c:pt>
                <c:pt idx="398">
                  <c:v>-51.565778381379516</c:v>
                </c:pt>
                <c:pt idx="399">
                  <c:v>-51.643454558976828</c:v>
                </c:pt>
                <c:pt idx="400">
                  <c:v>-51.720640333383791</c:v>
                </c:pt>
                <c:pt idx="401">
                  <c:v>-51.797340763982326</c:v>
                </c:pt>
                <c:pt idx="402">
                  <c:v>-51.873560836394162</c:v>
                </c:pt>
                <c:pt idx="403">
                  <c:v>-51.949305463932838</c:v>
                </c:pt>
                <c:pt idx="404">
                  <c:v>-52.024579489019239</c:v>
                </c:pt>
                <c:pt idx="405">
                  <c:v>-52.099387684561734</c:v>
                </c:pt>
                <c:pt idx="406">
                  <c:v>-52.173734755302021</c:v>
                </c:pt>
                <c:pt idx="407">
                  <c:v>-52.247625339127623</c:v>
                </c:pt>
                <c:pt idx="408">
                  <c:v>-52.32106400835211</c:v>
                </c:pt>
                <c:pt idx="409">
                  <c:v>-52.394055270963989</c:v>
                </c:pt>
                <c:pt idx="410">
                  <c:v>-52.466603571845155</c:v>
                </c:pt>
                <c:pt idx="411">
                  <c:v>-52.538713293959802</c:v>
                </c:pt>
                <c:pt idx="412">
                  <c:v>-52.610388759514763</c:v>
                </c:pt>
                <c:pt idx="413">
                  <c:v>-52.68163423109192</c:v>
                </c:pt>
                <c:pt idx="414">
                  <c:v>-52.75245391275368</c:v>
                </c:pt>
                <c:pt idx="415">
                  <c:v>-52.822851951122161</c:v>
                </c:pt>
                <c:pt idx="416">
                  <c:v>-52.892832436432933</c:v>
                </c:pt>
                <c:pt idx="417">
                  <c:v>-52.962399403563978</c:v>
                </c:pt>
                <c:pt idx="418">
                  <c:v>-53.031556833040632</c:v>
                </c:pt>
                <c:pt idx="419">
                  <c:v>-53.100308652017134</c:v>
                </c:pt>
                <c:pt idx="420">
                  <c:v>-53.168658735235468</c:v>
                </c:pt>
                <c:pt idx="421">
                  <c:v>-53.236610905962117</c:v>
                </c:pt>
                <c:pt idx="422">
                  <c:v>-53.304168936903437</c:v>
                </c:pt>
                <c:pt idx="423">
                  <c:v>-53.371336551100029</c:v>
                </c:pt>
                <c:pt idx="424">
                  <c:v>-53.438117422801021</c:v>
                </c:pt>
                <c:pt idx="425">
                  <c:v>-53.5045151783184</c:v>
                </c:pt>
                <c:pt idx="426">
                  <c:v>-53.570533396862352</c:v>
                </c:pt>
                <c:pt idx="427">
                  <c:v>-53.636175611357856</c:v>
                </c:pt>
                <c:pt idx="428">
                  <c:v>-53.701445309243113</c:v>
                </c:pt>
                <c:pt idx="429">
                  <c:v>-53.766345933250356</c:v>
                </c:pt>
                <c:pt idx="430">
                  <c:v>-53.830880882169431</c:v>
                </c:pt>
                <c:pt idx="431">
                  <c:v>-53.895053511594682</c:v>
                </c:pt>
                <c:pt idx="432">
                  <c:v>-53.958867134655549</c:v>
                </c:pt>
                <c:pt idx="433">
                  <c:v>-54.02232502273128</c:v>
                </c:pt>
                <c:pt idx="434">
                  <c:v>-54.085430406150287</c:v>
                </c:pt>
                <c:pt idx="435">
                  <c:v>-54.148186474874407</c:v>
                </c:pt>
                <c:pt idx="436">
                  <c:v>-54.210596379168564</c:v>
                </c:pt>
                <c:pt idx="437">
                  <c:v>-54.272663230256207</c:v>
                </c:pt>
                <c:pt idx="438">
                  <c:v>-54.334390100960796</c:v>
                </c:pt>
                <c:pt idx="439">
                  <c:v>-54.395780026333831</c:v>
                </c:pt>
                <c:pt idx="440">
                  <c:v>-54.456836004269718</c:v>
                </c:pt>
                <c:pt idx="441">
                  <c:v>-54.517560996107747</c:v>
                </c:pt>
                <c:pt idx="442">
                  <c:v>-54.577957927221583</c:v>
                </c:pt>
                <c:pt idx="443">
                  <c:v>-54.638029687596578</c:v>
                </c:pt>
                <c:pt idx="444">
                  <c:v>-54.697779132395247</c:v>
                </c:pt>
                <c:pt idx="445">
                  <c:v>-54.757209082511011</c:v>
                </c:pt>
                <c:pt idx="446">
                  <c:v>-54.816322325110853</c:v>
                </c:pt>
                <c:pt idx="447">
                  <c:v>-54.875121614166801</c:v>
                </c:pt>
                <c:pt idx="448">
                  <c:v>-54.933609670976722</c:v>
                </c:pt>
                <c:pt idx="449">
                  <c:v>-54.991789184674708</c:v>
                </c:pt>
                <c:pt idx="450">
                  <c:v>-55.049662812731164</c:v>
                </c:pt>
                <c:pt idx="451">
                  <c:v>-55.107233181442965</c:v>
                </c:pt>
                <c:pt idx="452">
                  <c:v>-55.164502886413899</c:v>
                </c:pt>
                <c:pt idx="453">
                  <c:v>-55.221474493025639</c:v>
                </c:pt>
                <c:pt idx="454">
                  <c:v>-55.278150536899403</c:v>
                </c:pt>
                <c:pt idx="455">
                  <c:v>-55.334533524348693</c:v>
                </c:pt>
                <c:pt idx="456">
                  <c:v>-55.390625932823113</c:v>
                </c:pt>
                <c:pt idx="457">
                  <c:v>-55.446430211343625</c:v>
                </c:pt>
                <c:pt idx="458">
                  <c:v>-55.501948780929396</c:v>
                </c:pt>
                <c:pt idx="459">
                  <c:v>-55.557184035016533</c:v>
                </c:pt>
                <c:pt idx="460">
                  <c:v>-55.612138339868629</c:v>
                </c:pt>
                <c:pt idx="461">
                  <c:v>-55.666814034979701</c:v>
                </c:pt>
                <c:pt idx="462">
                  <c:v>-55.721213433469323</c:v>
                </c:pt>
                <c:pt idx="463">
                  <c:v>-55.775338822470417</c:v>
                </c:pt>
                <c:pt idx="464">
                  <c:v>-55.829192463509685</c:v>
                </c:pt>
                <c:pt idx="465">
                  <c:v>-55.882776592881022</c:v>
                </c:pt>
                <c:pt idx="466">
                  <c:v>-55.936093422011837</c:v>
                </c:pt>
                <c:pt idx="467">
                  <c:v>-55.989145137822703</c:v>
                </c:pt>
                <c:pt idx="468">
                  <c:v>-56.041933903080334</c:v>
                </c:pt>
                <c:pt idx="469">
                  <c:v>-56.09446185674404</c:v>
                </c:pt>
                <c:pt idx="470">
                  <c:v>-56.146731114305936</c:v>
                </c:pt>
                <c:pt idx="471">
                  <c:v>-56.1987437681248</c:v>
                </c:pt>
                <c:pt idx="472">
                  <c:v>-56.250501887754048</c:v>
                </c:pt>
                <c:pt idx="473">
                  <c:v>-56.302007520263686</c:v>
                </c:pt>
                <c:pt idx="474">
                  <c:v>-56.353262690556448</c:v>
                </c:pt>
                <c:pt idx="475">
                  <c:v>-56.404269401678377</c:v>
                </c:pt>
                <c:pt idx="476">
                  <c:v>-56.455029635123779</c:v>
                </c:pt>
                <c:pt idx="477">
                  <c:v>-56.505545351134828</c:v>
                </c:pt>
                <c:pt idx="478">
                  <c:v>-56.555818488995783</c:v>
                </c:pt>
                <c:pt idx="479">
                  <c:v>-56.60585096732212</c:v>
                </c:pt>
                <c:pt idx="480">
                  <c:v>-56.655644684344551</c:v>
                </c:pt>
                <c:pt idx="481">
                  <c:v>-56.705201518188126</c:v>
                </c:pt>
                <c:pt idx="482">
                  <c:v>-56.754523327146387</c:v>
                </c:pt>
                <c:pt idx="483">
                  <c:v>-56.803611949950877</c:v>
                </c:pt>
                <c:pt idx="484">
                  <c:v>-56.852469206035963</c:v>
                </c:pt>
                <c:pt idx="485">
                  <c:v>-56.901096895799114</c:v>
                </c:pt>
                <c:pt idx="486">
                  <c:v>-56.949496800856714</c:v>
                </c:pt>
                <c:pt idx="487">
                  <c:v>-56.997670684295549</c:v>
                </c:pt>
                <c:pt idx="488">
                  <c:v>-57.045620290920013</c:v>
                </c:pt>
                <c:pt idx="489">
                  <c:v>-57.093347347495104</c:v>
                </c:pt>
                <c:pt idx="490">
                  <c:v>-57.140853562985434</c:v>
                </c:pt>
                <c:pt idx="491">
                  <c:v>-57.188140628790094</c:v>
                </c:pt>
                <c:pt idx="492">
                  <c:v>-57.235210218973727</c:v>
                </c:pt>
                <c:pt idx="493">
                  <c:v>-57.282063990493683</c:v>
                </c:pt>
                <c:pt idx="494">
                  <c:v>-57.328703583423426</c:v>
                </c:pt>
                <c:pt idx="495">
                  <c:v>-57.375130621172296</c:v>
                </c:pt>
                <c:pt idx="496">
                  <c:v>-57.42134671070162</c:v>
                </c:pt>
                <c:pt idx="497">
                  <c:v>-57.467353442737306</c:v>
                </c:pt>
                <c:pt idx="498">
                  <c:v>-57.513152391978934</c:v>
                </c:pt>
                <c:pt idx="499">
                  <c:v>-57.558745117305563</c:v>
                </c:pt>
                <c:pt idx="500">
                  <c:v>-57.604133161978041</c:v>
                </c:pt>
                <c:pt idx="501">
                  <c:v>-57.649318053838236</c:v>
                </c:pt>
                <c:pt idx="502">
                  <c:v>-57.694301305504922</c:v>
                </c:pt>
                <c:pt idx="503">
                  <c:v>-57.739084414566634</c:v>
                </c:pt>
                <c:pt idx="504">
                  <c:v>-57.78366886377141</c:v>
                </c:pt>
                <c:pt idx="505">
                  <c:v>-57.8280561212135</c:v>
                </c:pt>
                <c:pt idx="506">
                  <c:v>-57.872247640517202</c:v>
                </c:pt>
                <c:pt idx="507">
                  <c:v>-57.916244861017709</c:v>
                </c:pt>
                <c:pt idx="508">
                  <c:v>-57.960049207939207</c:v>
                </c:pt>
                <c:pt idx="509">
                  <c:v>-58.003662092570138</c:v>
                </c:pt>
                <c:pt idx="510">
                  <c:v>-58.047084912435722</c:v>
                </c:pt>
                <c:pt idx="511">
                  <c:v>-58.090319051467858</c:v>
                </c:pt>
                <c:pt idx="512">
                  <c:v>-58.13336588017237</c:v>
                </c:pt>
                <c:pt idx="513">
                  <c:v>-58.176226755793692</c:v>
                </c:pt>
                <c:pt idx="514">
                  <c:v>-58.218903022476965</c:v>
                </c:pt>
                <c:pt idx="515">
                  <c:v>-58.261396011427763</c:v>
                </c:pt>
                <c:pt idx="516">
                  <c:v>-58.303707041069288</c:v>
                </c:pt>
                <c:pt idx="517">
                  <c:v>-58.345837417197266</c:v>
                </c:pt>
                <c:pt idx="518">
                  <c:v>-58.387788433132428</c:v>
                </c:pt>
                <c:pt idx="519">
                  <c:v>-58.42956136987074</c:v>
                </c:pt>
                <c:pt idx="520">
                  <c:v>-58.471157496231349</c:v>
                </c:pt>
                <c:pt idx="521">
                  <c:v>-58.512578069002352</c:v>
                </c:pt>
                <c:pt idx="522">
                  <c:v>-58.553824333084343</c:v>
                </c:pt>
                <c:pt idx="523">
                  <c:v>-58.594897521631907</c:v>
                </c:pt>
                <c:pt idx="524">
                  <c:v>-58.635798856192885</c:v>
                </c:pt>
                <c:pt idx="525">
                  <c:v>-58.676529546845771</c:v>
                </c:pt>
                <c:pt idx="526">
                  <c:v>-58.717090792334929</c:v>
                </c:pt>
                <c:pt idx="527">
                  <c:v>-58.75748378020387</c:v>
                </c:pt>
                <c:pt idx="528">
                  <c:v>-58.79770968692668</c:v>
                </c:pt>
                <c:pt idx="529">
                  <c:v>-58.83776967803739</c:v>
                </c:pt>
                <c:pt idx="530">
                  <c:v>-58.877664908257557</c:v>
                </c:pt>
                <c:pt idx="531">
                  <c:v>-58.91739652162201</c:v>
                </c:pt>
                <c:pt idx="532">
                  <c:v>-58.956965651602751</c:v>
                </c:pt>
                <c:pt idx="533">
                  <c:v>-58.996373421231041</c:v>
                </c:pt>
                <c:pt idx="534">
                  <c:v>-59.035620943217886</c:v>
                </c:pt>
                <c:pt idx="535">
                  <c:v>-59.074709320072586</c:v>
                </c:pt>
                <c:pt idx="536">
                  <c:v>-59.11363964421983</c:v>
                </c:pt>
                <c:pt idx="537">
                  <c:v>-59.152412998114926</c:v>
                </c:pt>
                <c:pt idx="538">
                  <c:v>-59.191030454357602</c:v>
                </c:pt>
                <c:pt idx="539">
                  <c:v>-59.229493075803994</c:v>
                </c:pt>
                <c:pt idx="540">
                  <c:v>-59.267801915677261</c:v>
                </c:pt>
                <c:pt idx="541">
                  <c:v>-59.305958017676531</c:v>
                </c:pt>
                <c:pt idx="542">
                  <c:v>-59.343962416084381</c:v>
                </c:pt>
                <c:pt idx="543">
                  <c:v>-59.381816135872761</c:v>
                </c:pt>
                <c:pt idx="544">
                  <c:v>-59.419520192807568</c:v>
                </c:pt>
                <c:pt idx="545">
                  <c:v>-59.457075593551679</c:v>
                </c:pt>
                <c:pt idx="546">
                  <c:v>-59.494483335766546</c:v>
                </c:pt>
                <c:pt idx="547">
                  <c:v>-59.531744408212532</c:v>
                </c:pt>
                <c:pt idx="548">
                  <c:v>-59.568859790847704</c:v>
                </c:pt>
                <c:pt idx="549">
                  <c:v>-59.605830454925446</c:v>
                </c:pt>
                <c:pt idx="550">
                  <c:v>-59.642657363090585</c:v>
                </c:pt>
                <c:pt idx="551">
                  <c:v>-59.679341469474359</c:v>
                </c:pt>
                <c:pt idx="552">
                  <c:v>-59.715883719788003</c:v>
                </c:pt>
                <c:pt idx="553">
                  <c:v>-59.752285051415093</c:v>
                </c:pt>
                <c:pt idx="554">
                  <c:v>-59.788546393502713</c:v>
                </c:pt>
                <c:pt idx="555">
                  <c:v>-59.824668667051299</c:v>
                </c:pt>
                <c:pt idx="556">
                  <c:v>-59.860652785003396</c:v>
                </c:pt>
                <c:pt idx="557">
                  <c:v>-59.896499652331123</c:v>
                </c:pt>
                <c:pt idx="558">
                  <c:v>-59.932210166122587</c:v>
                </c:pt>
                <c:pt idx="559">
                  <c:v>-59.967785215667028</c:v>
                </c:pt>
                <c:pt idx="560">
                  <c:v>-60.003225682538996</c:v>
                </c:pt>
                <c:pt idx="561">
                  <c:v>-60.03853244068128</c:v>
                </c:pt>
                <c:pt idx="562">
                  <c:v>-60.073706356486781</c:v>
                </c:pt>
                <c:pt idx="563">
                  <c:v>-60.108748288879454</c:v>
                </c:pt>
                <c:pt idx="564">
                  <c:v>-60.143659089393935</c:v>
                </c:pt>
                <c:pt idx="565">
                  <c:v>-60.178439602254386</c:v>
                </c:pt>
                <c:pt idx="566">
                  <c:v>-60.21309066445216</c:v>
                </c:pt>
                <c:pt idx="567">
                  <c:v>-60.247613105822531</c:v>
                </c:pt>
                <c:pt idx="568">
                  <c:v>-60.282007749120396</c:v>
                </c:pt>
                <c:pt idx="569">
                  <c:v>-60.316275410095052</c:v>
                </c:pt>
                <c:pt idx="570">
                  <c:v>-60.350416897563946</c:v>
                </c:pt>
                <c:pt idx="571">
                  <c:v>-60.384433013485591</c:v>
                </c:pt>
                <c:pt idx="572">
                  <c:v>-60.418324553031383</c:v>
                </c:pt>
                <c:pt idx="573">
                  <c:v>-60.452092304656716</c:v>
                </c:pt>
                <c:pt idx="574">
                  <c:v>-60.485737050170968</c:v>
                </c:pt>
                <c:pt idx="575">
                  <c:v>-60.519259564806809</c:v>
                </c:pt>
                <c:pt idx="576">
                  <c:v>-60.552660617288538</c:v>
                </c:pt>
                <c:pt idx="577">
                  <c:v>-60.585940969899497</c:v>
                </c:pt>
                <c:pt idx="578">
                  <c:v>-60.619101378548777</c:v>
                </c:pt>
                <c:pt idx="579">
                  <c:v>-60.652142592836995</c:v>
                </c:pt>
                <c:pt idx="580">
                  <c:v>-60.685065356121271</c:v>
                </c:pt>
                <c:pt idx="581">
                  <c:v>-60.717870405579419</c:v>
                </c:pt>
                <c:pt idx="582">
                  <c:v>-60.750558472273283</c:v>
                </c:pt>
                <c:pt idx="583">
                  <c:v>-60.783130281211399</c:v>
                </c:pt>
                <c:pt idx="584">
                  <c:v>-60.815586551410725</c:v>
                </c:pt>
                <c:pt idx="585">
                  <c:v>-60.847927995957782</c:v>
                </c:pt>
                <c:pt idx="586">
                  <c:v>-60.880155322068923</c:v>
                </c:pt>
                <c:pt idx="587">
                  <c:v>-60.912269231149864</c:v>
                </c:pt>
                <c:pt idx="588">
                  <c:v>-60.944270418854586</c:v>
                </c:pt>
                <c:pt idx="589">
                  <c:v>-60.97615957514342</c:v>
                </c:pt>
                <c:pt idx="590">
                  <c:v>-61.00793738434048</c:v>
                </c:pt>
                <c:pt idx="591">
                  <c:v>-61.039604525190342</c:v>
                </c:pt>
                <c:pt idx="592">
                  <c:v>-61.071161670914158</c:v>
                </c:pt>
                <c:pt idx="593">
                  <c:v>-61.102609489264893</c:v>
                </c:pt>
                <c:pt idx="594">
                  <c:v>-61.133948642582119</c:v>
                </c:pt>
                <c:pt idx="595">
                  <c:v>-61.165179787845972</c:v>
                </c:pt>
                <c:pt idx="596">
                  <c:v>-61.196303576730593</c:v>
                </c:pt>
                <c:pt idx="597">
                  <c:v>-61.227320655656811</c:v>
                </c:pt>
                <c:pt idx="598">
                  <c:v>-61.258231665844313</c:v>
                </c:pt>
                <c:pt idx="599">
                  <c:v>-61.289037243363104</c:v>
                </c:pt>
                <c:pt idx="600">
                  <c:v>-61.319738019184385</c:v>
                </c:pt>
                <c:pt idx="601">
                  <c:v>-61.350334619230892</c:v>
                </c:pt>
                <c:pt idx="602">
                  <c:v>-61.380827664426491</c:v>
                </c:pt>
                <c:pt idx="603">
                  <c:v>-61.411217770745345</c:v>
                </c:pt>
                <c:pt idx="604">
                  <c:v>-61.441505549260427</c:v>
                </c:pt>
                <c:pt idx="605">
                  <c:v>-61.471691606191442</c:v>
                </c:pt>
                <c:pt idx="606">
                  <c:v>-62.863412555744354</c:v>
                </c:pt>
                <c:pt idx="607">
                  <c:v>-64.062888230035085</c:v>
                </c:pt>
                <c:pt idx="608">
                  <c:v>-65.113776824698192</c:v>
                </c:pt>
                <c:pt idx="609">
                  <c:v>-66.047198154840288</c:v>
                </c:pt>
                <c:pt idx="610">
                  <c:v>-66.885902847021697</c:v>
                </c:pt>
                <c:pt idx="611">
                  <c:v>-67.646899903561774</c:v>
                </c:pt>
                <c:pt idx="612">
                  <c:v>-68.343163049111865</c:v>
                </c:pt>
                <c:pt idx="613">
                  <c:v>-68.98476788953333</c:v>
                </c:pt>
                <c:pt idx="614">
                  <c:v>-69.579667390850929</c:v>
                </c:pt>
                <c:pt idx="615">
                  <c:v>-70.134231836435902</c:v>
                </c:pt>
                <c:pt idx="616">
                  <c:v>-70.653632009894636</c:v>
                </c:pt>
                <c:pt idx="617">
                  <c:v>-71.14211591367652</c:v>
                </c:pt>
                <c:pt idx="618">
                  <c:v>-71.329663732185821</c:v>
                </c:pt>
                <c:pt idx="619">
                  <c:v>-71.513034451194926</c:v>
                </c:pt>
                <c:pt idx="620">
                  <c:v>-71.69241356128741</c:v>
                </c:pt>
                <c:pt idx="621">
                  <c:v>-71.867974503398443</c:v>
                </c:pt>
                <c:pt idx="622">
                  <c:v>-72.039879675518989</c:v>
                </c:pt>
                <c:pt idx="623">
                  <c:v>-72.208281338418374</c:v>
                </c:pt>
                <c:pt idx="624">
                  <c:v>-72.373322432052205</c:v>
                </c:pt>
                <c:pt idx="625">
                  <c:v>-72.535137312812395</c:v>
                </c:pt>
                <c:pt idx="626">
                  <c:v>-72.693852420479487</c:v>
                </c:pt>
                <c:pt idx="627">
                  <c:v>-72.849586882624266</c:v>
                </c:pt>
                <c:pt idx="628">
                  <c:v>-73.002453063245284</c:v>
                </c:pt>
                <c:pt idx="629">
                  <c:v>-73.152557061601371</c:v>
                </c:pt>
                <c:pt idx="630">
                  <c:v>-73.299999166480262</c:v>
                </c:pt>
                <c:pt idx="631">
                  <c:v>-73.444874270523556</c:v>
                </c:pt>
                <c:pt idx="632">
                  <c:v>-73.587272248687455</c:v>
                </c:pt>
                <c:pt idx="633">
                  <c:v>-73.727278304448859</c:v>
                </c:pt>
                <c:pt idx="634">
                  <c:v>-73.864973286955447</c:v>
                </c:pt>
                <c:pt idx="635">
                  <c:v>-74.000433981960128</c:v>
                </c:pt>
                <c:pt idx="636">
                  <c:v>-74.133733379066001</c:v>
                </c:pt>
                <c:pt idx="637">
                  <c:v>-74.264940917532243</c:v>
                </c:pt>
                <c:pt idx="638">
                  <c:v>-74.39412271264888</c:v>
                </c:pt>
                <c:pt idx="639">
                  <c:v>-74.521341764475864</c:v>
                </c:pt>
                <c:pt idx="640">
                  <c:v>-74.646658150552668</c:v>
                </c:pt>
                <c:pt idx="641">
                  <c:v>-74.77012920401927</c:v>
                </c:pt>
                <c:pt idx="642">
                  <c:v>-74.891809678441788</c:v>
                </c:pt>
                <c:pt idx="643">
                  <c:v>-75.011751900505871</c:v>
                </c:pt>
                <c:pt idx="644">
                  <c:v>-75.130005911625247</c:v>
                </c:pt>
                <c:pt idx="645">
                  <c:v>-75.246619599409485</c:v>
                </c:pt>
                <c:pt idx="646">
                  <c:v>-75.361638819844131</c:v>
                </c:pt>
                <c:pt idx="647">
                  <c:v>-75.475107510953791</c:v>
                </c:pt>
                <c:pt idx="648">
                  <c:v>-75.587067798646515</c:v>
                </c:pt>
                <c:pt idx="649">
                  <c:v>-75.697560095372069</c:v>
                </c:pt>
                <c:pt idx="650">
                  <c:v>-75.806623192168317</c:v>
                </c:pt>
                <c:pt idx="651">
                  <c:v>-75.91429434461773</c:v>
                </c:pt>
                <c:pt idx="652">
                  <c:v>-76.020609353188689</c:v>
                </c:pt>
                <c:pt idx="653">
                  <c:v>-76.125602638394099</c:v>
                </c:pt>
                <c:pt idx="654">
                  <c:v>-76.229307311161605</c:v>
                </c:pt>
                <c:pt idx="655">
                  <c:v>-76.331755238775642</c:v>
                </c:pt>
                <c:pt idx="656">
                  <c:v>-76.43297710671996</c:v>
                </c:pt>
                <c:pt idx="657">
                  <c:v>-76.533002476722032</c:v>
                </c:pt>
                <c:pt idx="658">
                  <c:v>-76.631859841274846</c:v>
                </c:pt>
                <c:pt idx="659">
                  <c:v>-76.72957667488879</c:v>
                </c:pt>
                <c:pt idx="660">
                  <c:v>-76.826179482305662</c:v>
                </c:pt>
                <c:pt idx="661">
                  <c:v>-76.921693843887851</c:v>
                </c:pt>
                <c:pt idx="662">
                  <c:v>-77.016144458378591</c:v>
                </c:pt>
                <c:pt idx="663">
                  <c:v>-77.109555183213544</c:v>
                </c:pt>
                <c:pt idx="664">
                  <c:v>-77.201949072550008</c:v>
                </c:pt>
                <c:pt idx="665">
                  <c:v>-77.29334841316647</c:v>
                </c:pt>
                <c:pt idx="666">
                  <c:v>-77.383774758374486</c:v>
                </c:pt>
                <c:pt idx="667">
                  <c:v>-77.473248960072823</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-2.7176968337303945E-3</c:v>
                </c:pt>
                <c:pt idx="1">
                  <c:v>-5.4353937703062556E-3</c:v>
                </c:pt>
                <c:pt idx="2">
                  <c:v>-8.1530909125730588E-3</c:v>
                </c:pt>
                <c:pt idx="3">
                  <c:v>-1.0870788363376304E-2</c:v>
                </c:pt>
                <c:pt idx="4">
                  <c:v>-1.3588486225561526E-2</c:v>
                </c:pt>
                <c:pt idx="5">
                  <c:v>-1.6306184601974298E-2</c:v>
                </c:pt>
                <c:pt idx="6">
                  <c:v>-1.9023883595460259E-2</c:v>
                </c:pt>
                <c:pt idx="7">
                  <c:v>-2.1741583308865112E-2</c:v>
                </c:pt>
                <c:pt idx="8">
                  <c:v>-2.4459283845034624E-2</c:v>
                </c:pt>
                <c:pt idx="9">
                  <c:v>-2.7176985306814675E-2</c:v>
                </c:pt>
                <c:pt idx="10">
                  <c:v>-5.4354073459372008E-2</c:v>
                </c:pt>
                <c:pt idx="11">
                  <c:v>-8.1531367304532698E-2</c:v>
                </c:pt>
                <c:pt idx="12">
                  <c:v>-0.10870896969139368</c:v>
                </c:pt>
                <c:pt idx="13">
                  <c:v>-0.13588698347240616</c:v>
                </c:pt>
                <c:pt idx="14">
                  <c:v>-0.1630655115044938</c:v>
                </c:pt>
                <c:pt idx="15">
                  <c:v>-0.19024465665017129</c:v>
                </c:pt>
                <c:pt idx="16">
                  <c:v>-0.21742452177866237</c:v>
                </c:pt>
                <c:pt idx="17">
                  <c:v>-0.24460520976701838</c:v>
                </c:pt>
                <c:pt idx="18">
                  <c:v>-0.27178682350123734</c:v>
                </c:pt>
                <c:pt idx="19">
                  <c:v>-0.5436765204226407</c:v>
                </c:pt>
                <c:pt idx="20">
                  <c:v>-0.815772076061687</c:v>
                </c:pt>
                <c:pt idx="21">
                  <c:v>-1.0881766996812781</c:v>
                </c:pt>
                <c:pt idx="22">
                  <c:v>-1.3609939370199142</c:v>
                </c:pt>
                <c:pt idx="23">
                  <c:v>-1.6343277834361083</c:v>
                </c:pt>
                <c:pt idx="24">
                  <c:v>-1.9082827979005867</c:v>
                </c:pt>
                <c:pt idx="25">
                  <c:v>-2.1829642180516573</c:v>
                </c:pt>
                <c:pt idx="26">
                  <c:v>-2.4584780765314065</c:v>
                </c:pt>
                <c:pt idx="27">
                  <c:v>-2.7349313188231181</c:v>
                </c:pt>
                <c:pt idx="28">
                  <c:v>-4.1351105154352652</c:v>
                </c:pt>
                <c:pt idx="29">
                  <c:v>-5.5755565726416982</c:v>
                </c:pt>
                <c:pt idx="30">
                  <c:v>-7.0714274944847695</c:v>
                </c:pt>
                <c:pt idx="31">
                  <c:v>-8.6394744825568104</c:v>
                </c:pt>
                <c:pt idx="32">
                  <c:v>-10.298577967560748</c:v>
                </c:pt>
                <c:pt idx="33">
                  <c:v>-12.070383992073657</c:v>
                </c:pt>
                <c:pt idx="34">
                  <c:v>-13.980067641481137</c:v>
                </c:pt>
                <c:pt idx="35">
                  <c:v>-16.057249797800434</c:v>
                </c:pt>
                <c:pt idx="36">
                  <c:v>-18.337086388626091</c:v>
                </c:pt>
                <c:pt idx="37">
                  <c:v>-20.86152727910159</c:v>
                </c:pt>
                <c:pt idx="38">
                  <c:v>-23.680689180938252</c:v>
                </c:pt>
                <c:pt idx="39">
                  <c:v>-26.854174523759539</c:v>
                </c:pt>
                <c:pt idx="40">
                  <c:v>-30.451947282861344</c:v>
                </c:pt>
                <c:pt idx="41">
                  <c:v>-34.553975817513034</c:v>
                </c:pt>
                <c:pt idx="42">
                  <c:v>-39.247200207540509</c:v>
                </c:pt>
                <c:pt idx="43">
                  <c:v>-44.617508312576646</c:v>
                </c:pt>
                <c:pt idx="44">
                  <c:v>-50.733726212895334</c:v>
                </c:pt>
                <c:pt idx="45">
                  <c:v>-57.621436437291592</c:v>
                </c:pt>
                <c:pt idx="46">
                  <c:v>-65.229068154336844</c:v>
                </c:pt>
                <c:pt idx="47">
                  <c:v>-73.398544804406455</c:v>
                </c:pt>
                <c:pt idx="48">
                  <c:v>-81.862596491012454</c:v>
                </c:pt>
                <c:pt idx="49">
                  <c:v>-90.286119436519613</c:v>
                </c:pt>
                <c:pt idx="50">
                  <c:v>-98.341636328275868</c:v>
                </c:pt>
                <c:pt idx="51">
                  <c:v>-105.78066465071471</c:v>
                </c:pt>
                <c:pt idx="52">
                  <c:v>-112.4664275521955</c:v>
                </c:pt>
                <c:pt idx="53">
                  <c:v>-118.36430877111459</c:v>
                </c:pt>
                <c:pt idx="54">
                  <c:v>-123.51014004797911</c:v>
                </c:pt>
                <c:pt idx="55">
                  <c:v>-127.97716672857075</c:v>
                </c:pt>
                <c:pt idx="56">
                  <c:v>-131.85181139489487</c:v>
                </c:pt>
                <c:pt idx="57">
                  <c:v>-135.21939680324894</c:v>
                </c:pt>
                <c:pt idx="58">
                  <c:v>-138.15727527105827</c:v>
                </c:pt>
                <c:pt idx="59">
                  <c:v>-140.73243977572972</c:v>
                </c:pt>
                <c:pt idx="60">
                  <c:v>-143.00147241919433</c:v>
                </c:pt>
                <c:pt idx="61">
                  <c:v>-145.01153169066919</c:v>
                </c:pt>
                <c:pt idx="62">
                  <c:v>-146.8016815549276</c:v>
                </c:pt>
                <c:pt idx="63">
                  <c:v>-148.40422593650194</c:v>
                </c:pt>
                <c:pt idx="64">
                  <c:v>-149.84590756258675</c:v>
                </c:pt>
                <c:pt idx="65">
                  <c:v>-151.14892801929884</c:v>
                </c:pt>
                <c:pt idx="66">
                  <c:v>-152.33179086021826</c:v>
                </c:pt>
                <c:pt idx="67">
                  <c:v>-153.40998758194172</c:v>
                </c:pt>
                <c:pt idx="68">
                  <c:v>-154.39655126607667</c:v>
                </c:pt>
                <c:pt idx="69">
                  <c:v>-155.30250190685919</c:v>
                </c:pt>
                <c:pt idx="70">
                  <c:v>-156.13720446495006</c:v>
                </c:pt>
                <c:pt idx="71">
                  <c:v>-156.90865718144062</c:v>
                </c:pt>
                <c:pt idx="72">
                  <c:v>-157.62372437156233</c:v>
                </c:pt>
                <c:pt idx="73">
                  <c:v>-158.28832505538165</c:v>
                </c:pt>
                <c:pt idx="74">
                  <c:v>-158.90758642226945</c:v>
                </c:pt>
                <c:pt idx="75">
                  <c:v>-159.48596922826735</c:v>
                </c:pt>
                <c:pt idx="76">
                  <c:v>-160.0273707218401</c:v>
                </c:pt>
                <c:pt idx="77">
                  <c:v>-160.53520951159913</c:v>
                </c:pt>
                <c:pt idx="78">
                  <c:v>-161.01249586420414</c:v>
                </c:pt>
                <c:pt idx="79">
                  <c:v>-161.46189019705881</c:v>
                </c:pt>
                <c:pt idx="80">
                  <c:v>-161.88575196432353</c:v>
                </c:pt>
                <c:pt idx="81">
                  <c:v>-162.28618069113713</c:v>
                </c:pt>
                <c:pt idx="82">
                  <c:v>-162.66505056239981</c:v>
                </c:pt>
                <c:pt idx="83">
                  <c:v>-163.0240396977822</c:v>
                </c:pt>
                <c:pt idx="84">
                  <c:v>-163.36465502739242</c:v>
                </c:pt>
                <c:pt idx="85">
                  <c:v>-163.68825351009224</c:v>
                </c:pt>
                <c:pt idx="86">
                  <c:v>-163.99606029903401</c:v>
                </c:pt>
                <c:pt idx="87">
                  <c:v>-164.28918434904912</c:v>
                </c:pt>
                <c:pt idx="88">
                  <c:v>-164.5686318722021</c:v>
                </c:pt>
                <c:pt idx="89">
                  <c:v>-164.83531797660123</c:v>
                </c:pt>
                <c:pt idx="90">
                  <c:v>-165.09007676588107</c:v>
                </c:pt>
                <c:pt idx="91">
                  <c:v>-165.33367012989606</c:v>
                </c:pt>
                <c:pt idx="92">
                  <c:v>-165.56679541890415</c:v>
                </c:pt>
                <c:pt idx="93">
                  <c:v>-165.79009216218554</c:v>
                </c:pt>
                <c:pt idx="94">
                  <c:v>-166.00414796627908</c:v>
                </c:pt>
                <c:pt idx="95">
                  <c:v>-166.20950370675797</c:v>
                </c:pt>
                <c:pt idx="96">
                  <c:v>-166.40665810986872</c:v>
                </c:pt>
                <c:pt idx="97">
                  <c:v>-166.59607180572755</c:v>
                </c:pt>
                <c:pt idx="98">
                  <c:v>-166.77817092257973</c:v>
                </c:pt>
                <c:pt idx="99">
                  <c:v>-166.95335028142702</c:v>
                </c:pt>
                <c:pt idx="100">
                  <c:v>-167.12197624177608</c:v>
                </c:pt>
                <c:pt idx="101">
                  <c:v>-167.28438924205622</c:v>
                </c:pt>
                <c:pt idx="102">
                  <c:v>-167.44090607218186</c:v>
                </c:pt>
                <c:pt idx="103">
                  <c:v>-167.59182191058588</c:v>
                </c:pt>
                <c:pt idx="104">
                  <c:v>-167.73741215368599</c:v>
                </c:pt>
                <c:pt idx="105">
                  <c:v>-167.87793406202451</c:v>
                </c:pt>
                <c:pt idx="106">
                  <c:v>-168.01362824415247</c:v>
                </c:pt>
                <c:pt idx="107">
                  <c:v>-168.14471999661043</c:v>
                </c:pt>
                <c:pt idx="108">
                  <c:v>-168.27142051603045</c:v>
                </c:pt>
                <c:pt idx="109">
                  <c:v>-168.39392799738019</c:v>
                </c:pt>
                <c:pt idx="110">
                  <c:v>-168.5124286306436</c:v>
                </c:pt>
                <c:pt idx="111">
                  <c:v>-168.62709750673972</c:v>
                </c:pt>
                <c:pt idx="112">
                  <c:v>-168.73809944219084</c:v>
                </c:pt>
                <c:pt idx="113">
                  <c:v>-168.84558973092953</c:v>
                </c:pt>
                <c:pt idx="114">
                  <c:v>-168.94971483065831</c:v>
                </c:pt>
                <c:pt idx="115">
                  <c:v>-169.05061299032835</c:v>
                </c:pt>
                <c:pt idx="116">
                  <c:v>-169.14841482455969</c:v>
                </c:pt>
                <c:pt idx="117">
                  <c:v>-169.24324384017723</c:v>
                </c:pt>
                <c:pt idx="118">
                  <c:v>-169.33521691946919</c:v>
                </c:pt>
                <c:pt idx="119">
                  <c:v>-169.42444476427244</c:v>
                </c:pt>
                <c:pt idx="120">
                  <c:v>-169.5110323045524</c:v>
                </c:pt>
                <c:pt idx="121">
                  <c:v>-169.59507907475654</c:v>
                </c:pt>
                <c:pt idx="122">
                  <c:v>-169.67667956087817</c:v>
                </c:pt>
                <c:pt idx="123">
                  <c:v>-169.75592352086628</c:v>
                </c:pt>
                <c:pt idx="124">
                  <c:v>-169.83289628074826</c:v>
                </c:pt>
                <c:pt idx="125">
                  <c:v>-169.90767900859487</c:v>
                </c:pt>
                <c:pt idx="126">
                  <c:v>-169.98034896824609</c:v>
                </c:pt>
                <c:pt idx="127">
                  <c:v>-170.05097975452878</c:v>
                </c:pt>
                <c:pt idx="128">
                  <c:v>-170.11964151152932</c:v>
                </c:pt>
                <c:pt idx="129">
                  <c:v>-170.18640113533434</c:v>
                </c:pt>
                <c:pt idx="130">
                  <c:v>-170.25132246252096</c:v>
                </c:pt>
                <c:pt idx="131">
                  <c:v>-170.314466445557</c:v>
                </c:pt>
                <c:pt idx="132">
                  <c:v>-170.37589131616465</c:v>
                </c:pt>
                <c:pt idx="133">
                  <c:v>-170.43565273760524</c:v>
                </c:pt>
                <c:pt idx="134">
                  <c:v>-170.493803946757</c:v>
                </c:pt>
                <c:pt idx="135">
                  <c:v>-170.55039588677943</c:v>
                </c:pt>
                <c:pt idx="136">
                  <c:v>-170.60547733108689</c:v>
                </c:pt>
                <c:pt idx="137">
                  <c:v>-170.65909499929381</c:v>
                </c:pt>
                <c:pt idx="138">
                  <c:v>-170.71129366573362</c:v>
                </c:pt>
                <c:pt idx="139">
                  <c:v>-170.76211626110467</c:v>
                </c:pt>
                <c:pt idx="140">
                  <c:v>-170.81160396774786</c:v>
                </c:pt>
                <c:pt idx="141">
                  <c:v>-170.85979630902037</c:v>
                </c:pt>
                <c:pt idx="142">
                  <c:v>-170.90673123318948</c:v>
                </c:pt>
                <c:pt idx="143">
                  <c:v>-170.95244519223797</c:v>
                </c:pt>
                <c:pt idx="144">
                  <c:v>-170.99697321593874</c:v>
                </c:pt>
                <c:pt idx="145">
                  <c:v>-171.0403489815298</c:v>
                </c:pt>
                <c:pt idx="146">
                  <c:v>-171.08260487929275</c:v>
                </c:pt>
                <c:pt idx="147">
                  <c:v>-171.12377207431507</c:v>
                </c:pt>
                <c:pt idx="148">
                  <c:v>-171.16388056469449</c:v>
                </c:pt>
                <c:pt idx="149">
                  <c:v>-171.20295923642408</c:v>
                </c:pt>
                <c:pt idx="150">
                  <c:v>-171.24103591517769</c:v>
                </c:pt>
                <c:pt idx="151">
                  <c:v>-171.27813741520006</c:v>
                </c:pt>
                <c:pt idx="152">
                  <c:v>-171.31428958548983</c:v>
                </c:pt>
                <c:pt idx="153">
                  <c:v>-171.3495173534495</c:v>
                </c:pt>
                <c:pt idx="154">
                  <c:v>-171.38384476616466</c:v>
                </c:pt>
                <c:pt idx="155">
                  <c:v>-171.41729502946217</c:v>
                </c:pt>
                <c:pt idx="156">
                  <c:v>-171.44989054488616</c:v>
                </c:pt>
                <c:pt idx="157">
                  <c:v>-171.48165294472145</c:v>
                </c:pt>
                <c:pt idx="158">
                  <c:v>-171.51260312518465</c:v>
                </c:pt>
                <c:pt idx="159">
                  <c:v>-171.54276127789387</c:v>
                </c:pt>
                <c:pt idx="160">
                  <c:v>-171.57214691972189</c:v>
                </c:pt>
                <c:pt idx="161">
                  <c:v>-171.60077892112889</c:v>
                </c:pt>
                <c:pt idx="162">
                  <c:v>-171.62867553306552</c:v>
                </c:pt>
                <c:pt idx="163">
                  <c:v>-171.65585441252983</c:v>
                </c:pt>
                <c:pt idx="164">
                  <c:v>-171.68233264685685</c:v>
                </c:pt>
                <c:pt idx="165">
                  <c:v>-171.70812677681403</c:v>
                </c:pt>
                <c:pt idx="166">
                  <c:v>-171.73325281857129</c:v>
                </c:pt>
                <c:pt idx="167">
                  <c:v>-171.75772628460862</c:v>
                </c:pt>
                <c:pt idx="168">
                  <c:v>-171.78156220362268</c:v>
                </c:pt>
                <c:pt idx="169">
                  <c:v>-171.80477513948642</c:v>
                </c:pt>
                <c:pt idx="170">
                  <c:v>-171.82737920931615</c:v>
                </c:pt>
                <c:pt idx="171">
                  <c:v>-171.84938810069343</c:v>
                </c:pt>
                <c:pt idx="172">
                  <c:v>-171.87081508808893</c:v>
                </c:pt>
                <c:pt idx="173">
                  <c:v>-171.8916730485312</c:v>
                </c:pt>
                <c:pt idx="174">
                  <c:v>-171.91197447656015</c:v>
                </c:pt>
                <c:pt idx="175">
                  <c:v>-171.93173149850435</c:v>
                </c:pt>
                <c:pt idx="176">
                  <c:v>-171.95095588611736</c:v>
                </c:pt>
                <c:pt idx="177">
                  <c:v>-171.96965906960608</c:v>
                </c:pt>
                <c:pt idx="178">
                  <c:v>-171.98785215008425</c:v>
                </c:pt>
                <c:pt idx="179">
                  <c:v>-172.00554591147849</c:v>
                </c:pt>
                <c:pt idx="180">
                  <c:v>-172.02275083191759</c:v>
                </c:pt>
                <c:pt idx="181">
                  <c:v>-172.03947709462864</c:v>
                </c:pt>
                <c:pt idx="182">
                  <c:v>-172.05573459836708</c:v>
                </c:pt>
                <c:pt idx="183">
                  <c:v>-172.07153296740225</c:v>
                </c:pt>
                <c:pt idx="184">
                  <c:v>-172.08688156108167</c:v>
                </c:pt>
                <c:pt idx="185">
                  <c:v>-172.10178948299438</c:v>
                </c:pt>
                <c:pt idx="186">
                  <c:v>-172.11626558975294</c:v>
                </c:pt>
                <c:pt idx="187">
                  <c:v>-172.13031849941257</c:v>
                </c:pt>
                <c:pt idx="188">
                  <c:v>-172.14395659954494</c:v>
                </c:pt>
                <c:pt idx="189">
                  <c:v>-172.15718805498355</c:v>
                </c:pt>
                <c:pt idx="190">
                  <c:v>-172.17002081525578</c:v>
                </c:pt>
                <c:pt idx="191">
                  <c:v>-172.18246262171627</c:v>
                </c:pt>
                <c:pt idx="192">
                  <c:v>-172.19452101439666</c:v>
                </c:pt>
                <c:pt idx="193">
                  <c:v>-172.20620333858341</c:v>
                </c:pt>
                <c:pt idx="194">
                  <c:v>-172.21751675113754</c:v>
                </c:pt>
                <c:pt idx="195">
                  <c:v>-172.2284682265676</c:v>
                </c:pt>
                <c:pt idx="196">
                  <c:v>-172.23906456286667</c:v>
                </c:pt>
                <c:pt idx="197">
                  <c:v>-172.24931238712543</c:v>
                </c:pt>
                <c:pt idx="198">
                  <c:v>-172.25921816092944</c:v>
                </c:pt>
                <c:pt idx="199">
                  <c:v>-172.26878818555213</c:v>
                </c:pt>
                <c:pt idx="200">
                  <c:v>-172.27802860695149</c:v>
                </c:pt>
                <c:pt idx="201">
                  <c:v>-172.28694542057937</c:v>
                </c:pt>
                <c:pt idx="202">
                  <c:v>-172.29554447601146</c:v>
                </c:pt>
                <c:pt idx="203">
                  <c:v>-172.30383148140615</c:v>
                </c:pt>
                <c:pt idx="204">
                  <c:v>-172.3118120077994</c:v>
                </c:pt>
                <c:pt idx="205">
                  <c:v>-172.31949149324231</c:v>
                </c:pt>
                <c:pt idx="206">
                  <c:v>-172.32687524678911</c:v>
                </c:pt>
                <c:pt idx="207">
                  <c:v>-172.33396845234071</c:v>
                </c:pt>
                <c:pt idx="208">
                  <c:v>-172.34077617235053</c:v>
                </c:pt>
                <c:pt idx="209">
                  <c:v>-172.34730335139872</c:v>
                </c:pt>
                <c:pt idx="210">
                  <c:v>-172.35355481963938</c:v>
                </c:pt>
                <c:pt idx="211">
                  <c:v>-172.35953529612667</c:v>
                </c:pt>
                <c:pt idx="212">
                  <c:v>-172.36524939202451</c:v>
                </c:pt>
                <c:pt idx="213">
                  <c:v>-172.37070161370494</c:v>
                </c:pt>
                <c:pt idx="214">
                  <c:v>-172.37589636573921</c:v>
                </c:pt>
                <c:pt idx="215">
                  <c:v>-172.38083795378608</c:v>
                </c:pt>
                <c:pt idx="216">
                  <c:v>-172.38553058738188</c:v>
                </c:pt>
                <c:pt idx="217">
                  <c:v>-172.3899783826356</c:v>
                </c:pt>
                <c:pt idx="218">
                  <c:v>-172.39418536483313</c:v>
                </c:pt>
                <c:pt idx="219">
                  <c:v>-172.39815547095412</c:v>
                </c:pt>
                <c:pt idx="220">
                  <c:v>-172.40189255210515</c:v>
                </c:pt>
                <c:pt idx="221">
                  <c:v>-172.40540037587198</c:v>
                </c:pt>
                <c:pt idx="222">
                  <c:v>-172.40868262859456</c:v>
                </c:pt>
                <c:pt idx="223">
                  <c:v>-172.41174291756701</c:v>
                </c:pt>
                <c:pt idx="224">
                  <c:v>-172.41458477316667</c:v>
                </c:pt>
                <c:pt idx="225">
                  <c:v>-172.4172116509134</c:v>
                </c:pt>
                <c:pt idx="226">
                  <c:v>-172.43236714464956</c:v>
                </c:pt>
                <c:pt idx="227">
                  <c:v>-172.42933938347079</c:v>
                </c:pt>
                <c:pt idx="228">
                  <c:v>-172.41060950328293</c:v>
                </c:pt>
                <c:pt idx="229">
                  <c:v>-172.37822655795776</c:v>
                </c:pt>
                <c:pt idx="230">
                  <c:v>-172.3338983268707</c:v>
                </c:pt>
                <c:pt idx="231">
                  <c:v>-172.27906003073852</c:v>
                </c:pt>
                <c:pt idx="232">
                  <c:v>-172.2149270075362</c:v>
                </c:pt>
                <c:pt idx="233">
                  <c:v>-172.14253557047886</c:v>
                </c:pt>
                <c:pt idx="234">
                  <c:v>-172.06277504176785</c:v>
                </c:pt>
                <c:pt idx="235">
                  <c:v>-171.97641311654175</c:v>
                </c:pt>
                <c:pt idx="236">
                  <c:v>-171.88411612867225</c:v>
                </c:pt>
                <c:pt idx="237">
                  <c:v>-171.78646537928412</c:v>
                </c:pt>
                <c:pt idx="238">
                  <c:v>-171.68397039539002</c:v>
                </c:pt>
                <c:pt idx="239">
                  <c:v>-171.57707977367659</c:v>
                </c:pt>
                <c:pt idx="240">
                  <c:v>-171.46619010901895</c:v>
                </c:pt>
                <c:pt idx="241">
                  <c:v>-171.3516533922577</c:v>
                </c:pt>
                <c:pt idx="242">
                  <c:v>-171.23378317576584</c:v>
                </c:pt>
                <c:pt idx="243">
                  <c:v>-171.11285974043454</c:v>
                </c:pt>
                <c:pt idx="244">
                  <c:v>-170.98913444829114</c:v>
                </c:pt>
                <c:pt idx="245">
                  <c:v>-170.86283342703263</c:v>
                </c:pt>
                <c:pt idx="246">
                  <c:v>-170.73416070340895</c:v>
                </c:pt>
                <c:pt idx="247">
                  <c:v>-170.60330087952002</c:v>
                </c:pt>
                <c:pt idx="248">
                  <c:v>-170.47042142814038</c:v>
                </c:pt>
                <c:pt idx="249">
                  <c:v>-170.33567466900649</c:v>
                </c:pt>
                <c:pt idx="250">
                  <c:v>-170.199199476735</c:v>
                </c:pt>
                <c:pt idx="251">
                  <c:v>-170.06112276202688</c:v>
                </c:pt>
                <c:pt idx="252">
                  <c:v>-169.92156076057336</c:v>
                </c:pt>
                <c:pt idx="253">
                  <c:v>-169.78062015822255</c:v>
                </c:pt>
                <c:pt idx="254">
                  <c:v>-169.63839907621147</c:v>
                </c:pt>
                <c:pt idx="255">
                  <c:v>-169.49498793638762</c:v>
                </c:pt>
                <c:pt idx="256">
                  <c:v>-169.3504702231597</c:v>
                </c:pt>
                <c:pt idx="257">
                  <c:v>-169.20492315629932</c:v>
                </c:pt>
                <c:pt idx="258">
                  <c:v>-169.05841828654511</c:v>
                </c:pt>
                <c:pt idx="259">
                  <c:v>-168.91102202416261</c:v>
                </c:pt>
                <c:pt idx="260">
                  <c:v>-168.76279610911331</c:v>
                </c:pt>
                <c:pt idx="261">
                  <c:v>-168.61379803022982</c:v>
                </c:pt>
                <c:pt idx="262">
                  <c:v>-168.46408139974363</c:v>
                </c:pt>
                <c:pt idx="263">
                  <c:v>-168.31369628861992</c:v>
                </c:pt>
                <c:pt idx="264">
                  <c:v>-168.16268952740879</c:v>
                </c:pt>
                <c:pt idx="265">
                  <c:v>-168.0111049766827</c:v>
                </c:pt>
                <c:pt idx="266">
                  <c:v>-167.85898377059064</c:v>
                </c:pt>
                <c:pt idx="267">
                  <c:v>-167.70636453659856</c:v>
                </c:pt>
                <c:pt idx="268">
                  <c:v>-167.55328359409057</c:v>
                </c:pt>
                <c:pt idx="269">
                  <c:v>-167.39977513416764</c:v>
                </c:pt>
                <c:pt idx="270">
                  <c:v>-167.24587138268947</c:v>
                </c:pt>
                <c:pt idx="271">
                  <c:v>-167.09160274835409</c:v>
                </c:pt>
                <c:pt idx="272">
                  <c:v>-166.93699795739502</c:v>
                </c:pt>
                <c:pt idx="273">
                  <c:v>-166.78208417628514</c:v>
                </c:pt>
                <c:pt idx="274">
                  <c:v>-166.62688712367643</c:v>
                </c:pt>
                <c:pt idx="275">
                  <c:v>-166.4714311726616</c:v>
                </c:pt>
                <c:pt idx="276">
                  <c:v>-166.31573944431983</c:v>
                </c:pt>
                <c:pt idx="277">
                  <c:v>-166.15983389340232</c:v>
                </c:pt>
                <c:pt idx="278">
                  <c:v>-166.0037353869169</c:v>
                </c:pt>
                <c:pt idx="279">
                  <c:v>-165.84746377628989</c:v>
                </c:pt>
                <c:pt idx="280">
                  <c:v>-165.69103796370916</c:v>
                </c:pt>
                <c:pt idx="281">
                  <c:v>-165.53447596318927</c:v>
                </c:pt>
                <c:pt idx="282">
                  <c:v>-165.37779495684177</c:v>
                </c:pt>
                <c:pt idx="283">
                  <c:v>-165.22101134678471</c:v>
                </c:pt>
                <c:pt idx="284">
                  <c:v>-165.06414080308139</c:v>
                </c:pt>
                <c:pt idx="285">
                  <c:v>-164.90719830805767</c:v>
                </c:pt>
                <c:pt idx="286">
                  <c:v>-164.75019819731361</c:v>
                </c:pt>
                <c:pt idx="287">
                  <c:v>-164.59315419771431</c:v>
                </c:pt>
                <c:pt idx="288">
                  <c:v>-164.43607946261596</c:v>
                </c:pt>
                <c:pt idx="289">
                  <c:v>-164.27898660456</c:v>
                </c:pt>
                <c:pt idx="290">
                  <c:v>-164.121887725645</c:v>
                </c:pt>
                <c:pt idx="291">
                  <c:v>-163.96479444576704</c:v>
                </c:pt>
                <c:pt idx="292">
                  <c:v>-163.80771792890167</c:v>
                </c:pt>
                <c:pt idx="293">
                  <c:v>-163.65066890758393</c:v>
                </c:pt>
                <c:pt idx="294">
                  <c:v>-163.49365770572982</c:v>
                </c:pt>
                <c:pt idx="295">
                  <c:v>-163.33669425992912</c:v>
                </c:pt>
                <c:pt idx="296">
                  <c:v>-163.17978813932788</c:v>
                </c:pt>
                <c:pt idx="297">
                  <c:v>-163.02294856420929</c:v>
                </c:pt>
                <c:pt idx="298">
                  <c:v>-162.86618442337127</c:v>
                </c:pt>
                <c:pt idx="299">
                  <c:v>-162.70950429039124</c:v>
                </c:pt>
                <c:pt idx="300">
                  <c:v>-162.55291643886119</c:v>
                </c:pt>
                <c:pt idx="301">
                  <c:v>-162.39642885666851</c:v>
                </c:pt>
                <c:pt idx="302">
                  <c:v>-162.24004925939178</c:v>
                </c:pt>
                <c:pt idx="303">
                  <c:v>-162.08378510287599</c:v>
                </c:pt>
                <c:pt idx="304">
                  <c:v>-161.92764359504551</c:v>
                </c:pt>
                <c:pt idx="305">
                  <c:v>-161.77163170700817</c:v>
                </c:pt>
                <c:pt idx="306">
                  <c:v>-161.61575618350102</c:v>
                </c:pt>
                <c:pt idx="307">
                  <c:v>-161.4600235527229</c:v>
                </c:pt>
                <c:pt idx="308">
                  <c:v>-161.30444013559568</c:v>
                </c:pt>
                <c:pt idx="309">
                  <c:v>-161.1490120544938</c:v>
                </c:pt>
                <c:pt idx="310">
                  <c:v>-160.99374524147709</c:v>
                </c:pt>
                <c:pt idx="311">
                  <c:v>-160.83864544606095</c:v>
                </c:pt>
                <c:pt idx="312">
                  <c:v>-160.6837182425536</c:v>
                </c:pt>
                <c:pt idx="313">
                  <c:v>-160.52896903698968</c:v>
                </c:pt>
                <c:pt idx="314">
                  <c:v>-160.37440307368595</c:v>
                </c:pt>
                <c:pt idx="315">
                  <c:v>-160.22002544144323</c:v>
                </c:pt>
                <c:pt idx="316">
                  <c:v>-160.06584107941816</c:v>
                </c:pt>
                <c:pt idx="317">
                  <c:v>-159.91185478268434</c:v>
                </c:pt>
                <c:pt idx="318">
                  <c:v>-159.75807120750363</c:v>
                </c:pt>
                <c:pt idx="319">
                  <c:v>-159.60449487632499</c:v>
                </c:pt>
                <c:pt idx="320">
                  <c:v>-159.45113018252763</c:v>
                </c:pt>
                <c:pt idx="321">
                  <c:v>-159.29798139492465</c:v>
                </c:pt>
                <c:pt idx="322">
                  <c:v>-159.14505266204119</c:v>
                </c:pt>
                <c:pt idx="323">
                  <c:v>-158.99234801618115</c:v>
                </c:pt>
                <c:pt idx="324">
                  <c:v>-158.83987137729471</c:v>
                </c:pt>
                <c:pt idx="325">
                  <c:v>-158.68762655665878</c:v>
                </c:pt>
                <c:pt idx="326">
                  <c:v>-158.53561726038114</c:v>
                </c:pt>
                <c:pt idx="327">
                  <c:v>-158.38384709273896</c:v>
                </c:pt>
                <c:pt idx="328">
                  <c:v>-158.2323195593608</c:v>
                </c:pt>
                <c:pt idx="329">
                  <c:v>-158.08103807026154</c:v>
                </c:pt>
                <c:pt idx="330">
                  <c:v>-157.93000594273823</c:v>
                </c:pt>
                <c:pt idx="331">
                  <c:v>-157.77922640413516</c:v>
                </c:pt>
                <c:pt idx="332">
                  <c:v>-157.62870259448528</c:v>
                </c:pt>
                <c:pt idx="333">
                  <c:v>-157.47843756903472</c:v>
                </c:pt>
                <c:pt idx="334">
                  <c:v>-157.32843430065725</c:v>
                </c:pt>
                <c:pt idx="335">
                  <c:v>-157.17869568216432</c:v>
                </c:pt>
                <c:pt idx="336">
                  <c:v>-157.02922452851689</c:v>
                </c:pt>
                <c:pt idx="337">
                  <c:v>-156.88002357894388</c:v>
                </c:pt>
                <c:pt idx="338">
                  <c:v>-156.73109549897254</c:v>
                </c:pt>
                <c:pt idx="339">
                  <c:v>-156.58244288237523</c:v>
                </c:pt>
                <c:pt idx="340">
                  <c:v>-156.43406825303742</c:v>
                </c:pt>
                <c:pt idx="341">
                  <c:v>-156.28597406675061</c:v>
                </c:pt>
                <c:pt idx="342">
                  <c:v>-156.13816271293453</c:v>
                </c:pt>
                <c:pt idx="343">
                  <c:v>-155.99063651629172</c:v>
                </c:pt>
                <c:pt idx="344">
                  <c:v>-155.84339773839864</c:v>
                </c:pt>
                <c:pt idx="345">
                  <c:v>-155.6964485792362</c:v>
                </c:pt>
                <c:pt idx="346">
                  <c:v>-155.54979117866256</c:v>
                </c:pt>
                <c:pt idx="347">
                  <c:v>-155.4034276178316</c:v>
                </c:pt>
                <c:pt idx="348">
                  <c:v>-155.25735992055948</c:v>
                </c:pt>
                <c:pt idx="349">
                  <c:v>-155.11159005464199</c:v>
                </c:pt>
                <c:pt idx="350">
                  <c:v>-154.96611993312499</c:v>
                </c:pt>
                <c:pt idx="351">
                  <c:v>-154.82095141553029</c:v>
                </c:pt>
                <c:pt idx="352">
                  <c:v>-154.67608630903919</c:v>
                </c:pt>
                <c:pt idx="353">
                  <c:v>-154.53152636963583</c:v>
                </c:pt>
                <c:pt idx="354">
                  <c:v>-154.38727330321186</c:v>
                </c:pt>
                <c:pt idx="355">
                  <c:v>-154.24332876663462</c:v>
                </c:pt>
                <c:pt idx="356">
                  <c:v>-154.09969436878086</c:v>
                </c:pt>
                <c:pt idx="357">
                  <c:v>-153.95637167153646</c:v>
                </c:pt>
                <c:pt idx="358">
                  <c:v>-153.81336219076522</c:v>
                </c:pt>
                <c:pt idx="359">
                  <c:v>-153.670667397247</c:v>
                </c:pt>
                <c:pt idx="360">
                  <c:v>-153.52828871758734</c:v>
                </c:pt>
                <c:pt idx="361">
                  <c:v>-153.38622753509907</c:v>
                </c:pt>
                <c:pt idx="362">
                  <c:v>-153.2444851906582</c:v>
                </c:pt>
                <c:pt idx="363">
                  <c:v>-153.10306298353422</c:v>
                </c:pt>
                <c:pt idx="364">
                  <c:v>-152.96196217219679</c:v>
                </c:pt>
                <c:pt idx="365">
                  <c:v>-152.82118397509927</c:v>
                </c:pt>
                <c:pt idx="366">
                  <c:v>-152.68072957144008</c:v>
                </c:pt>
                <c:pt idx="367">
                  <c:v>-152.54060010190369</c:v>
                </c:pt>
                <c:pt idx="368">
                  <c:v>-152.40079666938072</c:v>
                </c:pt>
                <c:pt idx="369">
                  <c:v>-152.26132033966962</c:v>
                </c:pt>
                <c:pt idx="370">
                  <c:v>-152.122172142159</c:v>
                </c:pt>
                <c:pt idx="371">
                  <c:v>-151.98335307049314</c:v>
                </c:pt>
                <c:pt idx="372">
                  <c:v>-151.8448640832199</c:v>
                </c:pt>
                <c:pt idx="373">
                  <c:v>-151.70670610442284</c:v>
                </c:pt>
                <c:pt idx="374">
                  <c:v>-151.56888002433749</c:v>
                </c:pt>
                <c:pt idx="375">
                  <c:v>-151.43138669995261</c:v>
                </c:pt>
                <c:pt idx="376">
                  <c:v>-151.29422695559725</c:v>
                </c:pt>
                <c:pt idx="377">
                  <c:v>-151.15740158351406</c:v>
                </c:pt>
                <c:pt idx="378">
                  <c:v>-151.02091134441878</c:v>
                </c:pt>
                <c:pt idx="379">
                  <c:v>-150.88475696804784</c:v>
                </c:pt>
                <c:pt idx="380">
                  <c:v>-150.74893915369287</c:v>
                </c:pt>
                <c:pt idx="381">
                  <c:v>-150.61345857072388</c:v>
                </c:pt>
                <c:pt idx="382">
                  <c:v>-150.47831585910077</c:v>
                </c:pt>
                <c:pt idx="383">
                  <c:v>-150.3435116298742</c:v>
                </c:pt>
                <c:pt idx="384">
                  <c:v>-150.2090464656755</c:v>
                </c:pt>
                <c:pt idx="385">
                  <c:v>-150.07492092119682</c:v>
                </c:pt>
                <c:pt idx="386">
                  <c:v>-149.94113552366107</c:v>
                </c:pt>
                <c:pt idx="387">
                  <c:v>-149.80769077328262</c:v>
                </c:pt>
                <c:pt idx="388">
                  <c:v>-149.67458714371884</c:v>
                </c:pt>
                <c:pt idx="389">
                  <c:v>-149.54182508251262</c:v>
                </c:pt>
                <c:pt idx="390">
                  <c:v>-149.40940501152659</c:v>
                </c:pt>
                <c:pt idx="391">
                  <c:v>-149.27732732736897</c:v>
                </c:pt>
                <c:pt idx="392">
                  <c:v>-149.14559240181129</c:v>
                </c:pt>
                <c:pt idx="393">
                  <c:v>-149.01420058219878</c:v>
                </c:pt>
                <c:pt idx="394">
                  <c:v>-148.88315219185282</c:v>
                </c:pt>
                <c:pt idx="395">
                  <c:v>-148.75244753046641</c:v>
                </c:pt>
                <c:pt idx="396">
                  <c:v>-148.62208687449268</c:v>
                </c:pt>
                <c:pt idx="397">
                  <c:v>-148.49207047752623</c:v>
                </c:pt>
                <c:pt idx="398">
                  <c:v>-148.36239857067844</c:v>
                </c:pt>
                <c:pt idx="399">
                  <c:v>-148.23307136294585</c:v>
                </c:pt>
                <c:pt idx="400">
                  <c:v>-148.10408904157254</c:v>
                </c:pt>
                <c:pt idx="401">
                  <c:v>-147.97545177240647</c:v>
                </c:pt>
                <c:pt idx="402">
                  <c:v>-147.8471597002501</c:v>
                </c:pt>
                <c:pt idx="403">
                  <c:v>-147.71921294920489</c:v>
                </c:pt>
                <c:pt idx="404">
                  <c:v>-147.59161162301066</c:v>
                </c:pt>
                <c:pt idx="405">
                  <c:v>-147.46435580537943</c:v>
                </c:pt>
                <c:pt idx="406">
                  <c:v>-147.33744556032391</c:v>
                </c:pt>
                <c:pt idx="407">
                  <c:v>-147.21088093248088</c:v>
                </c:pt>
                <c:pt idx="408">
                  <c:v>-147.08466194742971</c:v>
                </c:pt>
                <c:pt idx="409">
                  <c:v>-146.958788612006</c:v>
                </c:pt>
                <c:pt idx="410">
                  <c:v>-146.83326091461029</c:v>
                </c:pt>
                <c:pt idx="411">
                  <c:v>-146.70807882551242</c:v>
                </c:pt>
                <c:pt idx="412">
                  <c:v>-146.58324229715106</c:v>
                </c:pt>
                <c:pt idx="413">
                  <c:v>-146.45875126442917</c:v>
                </c:pt>
                <c:pt idx="414">
                  <c:v>-146.33460564500479</c:v>
                </c:pt>
                <c:pt idx="415">
                  <c:v>-146.210805339578</c:v>
                </c:pt>
                <c:pt idx="416">
                  <c:v>-146.08735023217358</c:v>
                </c:pt>
                <c:pt idx="417">
                  <c:v>-145.96424019041933</c:v>
                </c:pt>
                <c:pt idx="418">
                  <c:v>-145.8414750658211</c:v>
                </c:pt>
                <c:pt idx="419">
                  <c:v>-145.7190546940335</c:v>
                </c:pt>
                <c:pt idx="420">
                  <c:v>-145.59697889512691</c:v>
                </c:pt>
                <c:pt idx="421">
                  <c:v>-145.47524747385077</c:v>
                </c:pt>
                <c:pt idx="422">
                  <c:v>-145.35386021989351</c:v>
                </c:pt>
                <c:pt idx="423">
                  <c:v>-145.23281690813849</c:v>
                </c:pt>
                <c:pt idx="424">
                  <c:v>-145.11211729891673</c:v>
                </c:pt>
                <c:pt idx="425">
                  <c:v>-144.99176113825629</c:v>
                </c:pt>
                <c:pt idx="426">
                  <c:v>-144.87174815812793</c:v>
                </c:pt>
                <c:pt idx="427">
                  <c:v>-144.75207807668801</c:v>
                </c:pt>
                <c:pt idx="428">
                  <c:v>-144.63275059851748</c:v>
                </c:pt>
                <c:pt idx="429">
                  <c:v>-144.51376541485843</c:v>
                </c:pt>
                <c:pt idx="430">
                  <c:v>-144.39512220384677</c:v>
                </c:pt>
                <c:pt idx="431">
                  <c:v>-144.27682063074252</c:v>
                </c:pt>
                <c:pt idx="432">
                  <c:v>-144.15886034815662</c:v>
                </c:pt>
                <c:pt idx="433">
                  <c:v>-144.04124099627484</c:v>
                </c:pt>
                <c:pt idx="434">
                  <c:v>-143.92396220307887</c:v>
                </c:pt>
                <c:pt idx="435">
                  <c:v>-143.80702358456477</c:v>
                </c:pt>
                <c:pt idx="436">
                  <c:v>-143.69042474495785</c:v>
                </c:pt>
                <c:pt idx="437">
                  <c:v>-143.57416527692544</c:v>
                </c:pt>
                <c:pt idx="438">
                  <c:v>-143.45824476178694</c:v>
                </c:pt>
                <c:pt idx="439">
                  <c:v>-143.34266276972045</c:v>
                </c:pt>
                <c:pt idx="440">
                  <c:v>-143.22741885996749</c:v>
                </c:pt>
                <c:pt idx="441">
                  <c:v>-143.11251258103479</c:v>
                </c:pt>
                <c:pt idx="442">
                  <c:v>-142.9979434708934</c:v>
                </c:pt>
                <c:pt idx="443">
                  <c:v>-142.88371105717547</c:v>
                </c:pt>
                <c:pt idx="444">
                  <c:v>-142.76981485736826</c:v>
                </c:pt>
                <c:pt idx="445">
                  <c:v>-142.65625437900579</c:v>
                </c:pt>
                <c:pt idx="446">
                  <c:v>-142.5430291198582</c:v>
                </c:pt>
                <c:pt idx="447">
                  <c:v>-142.43013856811845</c:v>
                </c:pt>
                <c:pt idx="448">
                  <c:v>-142.31758220258655</c:v>
                </c:pt>
                <c:pt idx="449">
                  <c:v>-142.20535949285178</c:v>
                </c:pt>
                <c:pt idx="450">
                  <c:v>-142.09346989947244</c:v>
                </c:pt>
                <c:pt idx="451">
                  <c:v>-141.98191287415304</c:v>
                </c:pt>
                <c:pt idx="452">
                  <c:v>-141.87068785991968</c:v>
                </c:pt>
                <c:pt idx="453">
                  <c:v>-141.75979429129274</c:v>
                </c:pt>
                <c:pt idx="454">
                  <c:v>-141.64923159445772</c:v>
                </c:pt>
                <c:pt idx="455">
                  <c:v>-141.53899918743383</c:v>
                </c:pt>
                <c:pt idx="456">
                  <c:v>-141.42909648023996</c:v>
                </c:pt>
                <c:pt idx="457">
                  <c:v>-141.31952287505925</c:v>
                </c:pt>
                <c:pt idx="458">
                  <c:v>-141.21027776640113</c:v>
                </c:pt>
                <c:pt idx="459">
                  <c:v>-141.10136054126124</c:v>
                </c:pt>
                <c:pt idx="460">
                  <c:v>-140.99277057927935</c:v>
                </c:pt>
                <c:pt idx="461">
                  <c:v>-140.88450725289536</c:v>
                </c:pt>
                <c:pt idx="462">
                  <c:v>-140.77656992750335</c:v>
                </c:pt>
                <c:pt idx="463">
                  <c:v>-140.66895796160313</c:v>
                </c:pt>
                <c:pt idx="464">
                  <c:v>-140.56167070695054</c:v>
                </c:pt>
                <c:pt idx="465">
                  <c:v>-140.4547075087053</c:v>
                </c:pt>
                <c:pt idx="466">
                  <c:v>-140.34806770557702</c:v>
                </c:pt>
                <c:pt idx="467">
                  <c:v>-140.24175062996949</c:v>
                </c:pt>
                <c:pt idx="468">
                  <c:v>-140.13575560812291</c:v>
                </c:pt>
                <c:pt idx="469">
                  <c:v>-140.03008196025436</c:v>
                </c:pt>
                <c:pt idx="470">
                  <c:v>-139.9247290006964</c:v>
                </c:pt>
                <c:pt idx="471">
                  <c:v>-139.81969603803364</c:v>
                </c:pt>
                <c:pt idx="472">
                  <c:v>-139.71498237523807</c:v>
                </c:pt>
                <c:pt idx="473">
                  <c:v>-139.61058730980187</c:v>
                </c:pt>
                <c:pt idx="474">
                  <c:v>-139.50651013386914</c:v>
                </c:pt>
                <c:pt idx="475">
                  <c:v>-139.40275013436525</c:v>
                </c:pt>
                <c:pt idx="476">
                  <c:v>-139.29930659312512</c:v>
                </c:pt>
                <c:pt idx="477">
                  <c:v>-139.19617878701919</c:v>
                </c:pt>
                <c:pt idx="478">
                  <c:v>-139.0933659880782</c:v>
                </c:pt>
                <c:pt idx="479">
                  <c:v>-138.99086746361587</c:v>
                </c:pt>
                <c:pt idx="480">
                  <c:v>-138.88868247635023</c:v>
                </c:pt>
                <c:pt idx="481">
                  <c:v>-138.7868102845232</c:v>
                </c:pt>
                <c:pt idx="482">
                  <c:v>-138.68525014201853</c:v>
                </c:pt>
                <c:pt idx="483">
                  <c:v>-138.58400129847828</c:v>
                </c:pt>
                <c:pt idx="484">
                  <c:v>-138.4830629994174</c:v>
                </c:pt>
                <c:pt idx="485">
                  <c:v>-138.38243448633716</c:v>
                </c:pt>
                <c:pt idx="486">
                  <c:v>-138.28211499683664</c:v>
                </c:pt>
                <c:pt idx="487">
                  <c:v>-138.18210376472297</c:v>
                </c:pt>
                <c:pt idx="488">
                  <c:v>-138.08240002011993</c:v>
                </c:pt>
                <c:pt idx="489">
                  <c:v>-137.983002989575</c:v>
                </c:pt>
                <c:pt idx="490">
                  <c:v>-137.88391189616502</c:v>
                </c:pt>
                <c:pt idx="491">
                  <c:v>-137.78512595960035</c:v>
                </c:pt>
                <c:pt idx="492">
                  <c:v>-137.68664439632744</c:v>
                </c:pt>
                <c:pt idx="493">
                  <c:v>-137.58846641963038</c:v>
                </c:pt>
                <c:pt idx="494">
                  <c:v>-137.49059123973029</c:v>
                </c:pt>
                <c:pt idx="495">
                  <c:v>-137.39301806388414</c:v>
                </c:pt>
                <c:pt idx="496">
                  <c:v>-137.29574609648154</c:v>
                </c:pt>
                <c:pt idx="497">
                  <c:v>-137.19877453914037</c:v>
                </c:pt>
                <c:pt idx="498">
                  <c:v>-137.10210259080119</c:v>
                </c:pt>
                <c:pt idx="499">
                  <c:v>-137.0057294478201</c:v>
                </c:pt>
                <c:pt idx="500">
                  <c:v>-136.9096543040603</c:v>
                </c:pt>
                <c:pt idx="501">
                  <c:v>-136.81387635098224</c:v>
                </c:pt>
                <c:pt idx="502">
                  <c:v>-136.71839477773284</c:v>
                </c:pt>
                <c:pt idx="503">
                  <c:v>-136.62320877123295</c:v>
                </c:pt>
                <c:pt idx="504">
                  <c:v>-136.52831751626374</c:v>
                </c:pt>
                <c:pt idx="505">
                  <c:v>-136.43372019555193</c:v>
                </c:pt>
                <c:pt idx="506">
                  <c:v>-136.33941598985345</c:v>
                </c:pt>
                <c:pt idx="507">
                  <c:v>-136.24540407803622</c:v>
                </c:pt>
                <c:pt idx="508">
                  <c:v>-136.15168363716151</c:v>
                </c:pt>
                <c:pt idx="509">
                  <c:v>-136.05825384256406</c:v>
                </c:pt>
                <c:pt idx="510">
                  <c:v>-135.96511386793119</c:v>
                </c:pt>
                <c:pt idx="511">
                  <c:v>-135.87226288538034</c:v>
                </c:pt>
                <c:pt idx="512">
                  <c:v>-135.77970006553602</c:v>
                </c:pt>
                <c:pt idx="513">
                  <c:v>-135.68742457760496</c:v>
                </c:pt>
                <c:pt idx="514">
                  <c:v>-135.59543558945063</c:v>
                </c:pt>
                <c:pt idx="515">
                  <c:v>-135.50373226766641</c:v>
                </c:pt>
                <c:pt idx="516">
                  <c:v>-135.41231377764751</c:v>
                </c:pt>
                <c:pt idx="517">
                  <c:v>-135.32117928366196</c:v>
                </c:pt>
                <c:pt idx="518">
                  <c:v>-135.2303279489206</c:v>
                </c:pt>
                <c:pt idx="519">
                  <c:v>-135.13975893564566</c:v>
                </c:pt>
                <c:pt idx="520">
                  <c:v>-135.04947140513852</c:v>
                </c:pt>
                <c:pt idx="521">
                  <c:v>-134.95946451784644</c:v>
                </c:pt>
                <c:pt idx="522">
                  <c:v>-134.86973743342793</c:v>
                </c:pt>
                <c:pt idx="523">
                  <c:v>-134.78028931081749</c:v>
                </c:pt>
                <c:pt idx="524">
                  <c:v>-134.69111930828902</c:v>
                </c:pt>
                <c:pt idx="525">
                  <c:v>-134.60222658351847</c:v>
                </c:pt>
                <c:pt idx="526">
                  <c:v>-134.51361029364506</c:v>
                </c:pt>
                <c:pt idx="527">
                  <c:v>-134.42526959533217</c:v>
                </c:pt>
                <c:pt idx="528">
                  <c:v>-134.33720364482659</c:v>
                </c:pt>
                <c:pt idx="529">
                  <c:v>-134.24941159801719</c:v>
                </c:pt>
                <c:pt idx="530">
                  <c:v>-134.16189261049254</c:v>
                </c:pt>
                <c:pt idx="531">
                  <c:v>-134.07464583759761</c:v>
                </c:pt>
                <c:pt idx="532">
                  <c:v>-133.98767043448956</c:v>
                </c:pt>
                <c:pt idx="533">
                  <c:v>-133.90096555619226</c:v>
                </c:pt>
                <c:pt idx="534">
                  <c:v>-133.81453035765057</c:v>
                </c:pt>
                <c:pt idx="535">
                  <c:v>-133.72836399378318</c:v>
                </c:pt>
                <c:pt idx="536">
                  <c:v>-133.64246561953465</c:v>
                </c:pt>
                <c:pt idx="537">
                  <c:v>-133.55683438992679</c:v>
                </c:pt>
                <c:pt idx="538">
                  <c:v>-133.47146946010889</c:v>
                </c:pt>
                <c:pt idx="539">
                  <c:v>-133.3863699854073</c:v>
                </c:pt>
                <c:pt idx="540">
                  <c:v>-133.30153512137417</c:v>
                </c:pt>
                <c:pt idx="541">
                  <c:v>-133.21696402383506</c:v>
                </c:pt>
                <c:pt idx="542">
                  <c:v>-133.13265584893611</c:v>
                </c:pt>
                <c:pt idx="543">
                  <c:v>-133.04860975319008</c:v>
                </c:pt>
                <c:pt idx="544">
                  <c:v>-132.96482489352198</c:v>
                </c:pt>
                <c:pt idx="545">
                  <c:v>-132.88130042731319</c:v>
                </c:pt>
                <c:pt idx="546">
                  <c:v>-132.79803551244572</c:v>
                </c:pt>
                <c:pt idx="547">
                  <c:v>-132.71502930734488</c:v>
                </c:pt>
                <c:pt idx="548">
                  <c:v>-132.63228097102169</c:v>
                </c:pt>
                <c:pt idx="549">
                  <c:v>-132.54978966311418</c:v>
                </c:pt>
                <c:pt idx="550">
                  <c:v>-132.46755454392846</c:v>
                </c:pt>
                <c:pt idx="551">
                  <c:v>-132.38557477447821</c:v>
                </c:pt>
                <c:pt idx="552">
                  <c:v>-132.30384951652437</c:v>
                </c:pt>
                <c:pt idx="553">
                  <c:v>-132.22237793261348</c:v>
                </c:pt>
                <c:pt idx="554">
                  <c:v>-132.14115918611543</c:v>
                </c:pt>
                <c:pt idx="555">
                  <c:v>-132.06019244126085</c:v>
                </c:pt>
                <c:pt idx="556">
                  <c:v>-131.97947686317727</c:v>
                </c:pt>
                <c:pt idx="557">
                  <c:v>-131.89901161792477</c:v>
                </c:pt>
                <c:pt idx="558">
                  <c:v>-131.81879587253158</c:v>
                </c:pt>
                <c:pt idx="559">
                  <c:v>-131.73882879502779</c:v>
                </c:pt>
                <c:pt idx="560">
                  <c:v>-131.65910955447947</c:v>
                </c:pt>
                <c:pt idx="561">
                  <c:v>-131.57963732102181</c:v>
                </c:pt>
                <c:pt idx="562">
                  <c:v>-131.5004112658913</c:v>
                </c:pt>
                <c:pt idx="563">
                  <c:v>-131.42143056145773</c:v>
                </c:pt>
                <c:pt idx="564">
                  <c:v>-131.34269438125526</c:v>
                </c:pt>
                <c:pt idx="565">
                  <c:v>-131.26420190001303</c:v>
                </c:pt>
                <c:pt idx="566">
                  <c:v>-131.18595229368518</c:v>
                </c:pt>
                <c:pt idx="567">
                  <c:v>-131.10794473948002</c:v>
                </c:pt>
                <c:pt idx="568">
                  <c:v>-131.030178415889</c:v>
                </c:pt>
                <c:pt idx="569">
                  <c:v>-130.95265250271476</c:v>
                </c:pt>
                <c:pt idx="570">
                  <c:v>-130.87536618109866</c:v>
                </c:pt>
                <c:pt idx="571">
                  <c:v>-130.79831863354801</c:v>
                </c:pt>
                <c:pt idx="572">
                  <c:v>-130.72150904396239</c:v>
                </c:pt>
                <c:pt idx="573">
                  <c:v>-130.64493659765949</c:v>
                </c:pt>
                <c:pt idx="574">
                  <c:v>-130.56860048140067</c:v>
                </c:pt>
                <c:pt idx="575">
                  <c:v>-130.49249988341563</c:v>
                </c:pt>
                <c:pt idx="576">
                  <c:v>-130.41663399342676</c:v>
                </c:pt>
                <c:pt idx="577">
                  <c:v>-130.34100200267281</c:v>
                </c:pt>
                <c:pt idx="578">
                  <c:v>-130.26560310393239</c:v>
                </c:pt>
                <c:pt idx="579">
                  <c:v>-130.19043649154628</c:v>
                </c:pt>
                <c:pt idx="580">
                  <c:v>-130.11550136144024</c:v>
                </c:pt>
                <c:pt idx="581">
                  <c:v>-130.04079691114606</c:v>
                </c:pt>
                <c:pt idx="582">
                  <c:v>-129.96632233982345</c:v>
                </c:pt>
                <c:pt idx="583">
                  <c:v>-129.89207684828034</c:v>
                </c:pt>
                <c:pt idx="584">
                  <c:v>-129.81805963899339</c:v>
                </c:pt>
                <c:pt idx="585">
                  <c:v>-129.74426991612782</c:v>
                </c:pt>
                <c:pt idx="586">
                  <c:v>-129.67070688555663</c:v>
                </c:pt>
                <c:pt idx="587">
                  <c:v>-129.59736975487962</c:v>
                </c:pt>
                <c:pt idx="588">
                  <c:v>-129.52425773344174</c:v>
                </c:pt>
                <c:pt idx="589">
                  <c:v>-129.45137003235118</c:v>
                </c:pt>
                <c:pt idx="590">
                  <c:v>-129.37870586449694</c:v>
                </c:pt>
                <c:pt idx="591">
                  <c:v>-129.30626444456581</c:v>
                </c:pt>
                <c:pt idx="592">
                  <c:v>-129.23404498905933</c:v>
                </c:pt>
                <c:pt idx="593">
                  <c:v>-129.16204671630996</c:v>
                </c:pt>
                <c:pt idx="594">
                  <c:v>-129.09026884649683</c:v>
                </c:pt>
                <c:pt idx="595">
                  <c:v>-129.01871060166147</c:v>
                </c:pt>
                <c:pt idx="596">
                  <c:v>-128.94737120572267</c:v>
                </c:pt>
                <c:pt idx="597">
                  <c:v>-128.87624988449141</c:v>
                </c:pt>
                <c:pt idx="598">
                  <c:v>-128.80534586568481</c:v>
                </c:pt>
                <c:pt idx="599">
                  <c:v>-128.73465837894025</c:v>
                </c:pt>
                <c:pt idx="600">
                  <c:v>-128.66418665582901</c:v>
                </c:pt>
                <c:pt idx="601">
                  <c:v>-128.59392992986915</c:v>
                </c:pt>
                <c:pt idx="602">
                  <c:v>-128.52388743653853</c:v>
                </c:pt>
                <c:pt idx="603">
                  <c:v>-128.45405841328707</c:v>
                </c:pt>
                <c:pt idx="604">
                  <c:v>-128.38444209954901</c:v>
                </c:pt>
                <c:pt idx="605">
                  <c:v>-128.31503773675456</c:v>
                </c:pt>
                <c:pt idx="606">
                  <c:v>-125.09890520232651</c:v>
                </c:pt>
                <c:pt idx="607">
                  <c:v>-122.32415876550584</c:v>
                </c:pt>
                <c:pt idx="608">
                  <c:v>-119.91674741200214</c:v>
                </c:pt>
                <c:pt idx="609">
                  <c:v>-117.81545652715751</c:v>
                </c:pt>
                <c:pt idx="610">
                  <c:v>-115.97020319607179</c:v>
                </c:pt>
                <c:pt idx="611">
                  <c:v>-114.3401586764555</c:v>
                </c:pt>
                <c:pt idx="612">
                  <c:v>-112.89202361344471</c:v>
                </c:pt>
                <c:pt idx="613">
                  <c:v>-111.59856151881661</c:v>
                </c:pt>
                <c:pt idx="614">
                  <c:v>-110.43739884509095</c:v>
                </c:pt>
                <c:pt idx="615">
                  <c:v>-109.39006244468922</c:v>
                </c:pt>
                <c:pt idx="616">
                  <c:v>-108.44121490615422</c:v>
                </c:pt>
                <c:pt idx="617">
                  <c:v>-107.57804939533925</c:v>
                </c:pt>
                <c:pt idx="618">
                  <c:v>-107.25430527112611</c:v>
                </c:pt>
                <c:pt idx="619">
                  <c:v>-106.94192181447421</c:v>
                </c:pt>
                <c:pt idx="620">
                  <c:v>-106.64032925132067</c:v>
                </c:pt>
                <c:pt idx="621">
                  <c:v>-106.34899406591715</c:v>
                </c:pt>
                <c:pt idx="622">
                  <c:v>-106.0674162645132</c:v>
                </c:pt>
                <c:pt idx="623">
                  <c:v>-105.79512687277858</c:v>
                </c:pt>
                <c:pt idx="624">
                  <c:v>-105.53168564522494</c:v>
                </c:pt>
                <c:pt idx="625">
                  <c:v>-105.27667896700062</c:v>
                </c:pt>
                <c:pt idx="626">
                  <c:v>-105.0297179303426</c:v>
                </c:pt>
                <c:pt idx="627">
                  <c:v>-104.79043656969482</c:v>
                </c:pt>
                <c:pt idx="628">
                  <c:v>-104.55849024105916</c:v>
                </c:pt>
                <c:pt idx="629">
                  <c:v>-104.33355413254576</c:v>
                </c:pt>
                <c:pt idx="630">
                  <c:v>-104.115321894353</c:v>
                </c:pt>
                <c:pt idx="631">
                  <c:v>-103.90350437754145</c:v>
                </c:pt>
                <c:pt idx="632">
                  <c:v>-103.69782847198941</c:v>
                </c:pt>
                <c:pt idx="633">
                  <c:v>-103.49803603483529</c:v>
                </c:pt>
                <c:pt idx="634">
                  <c:v>-103.30388290153937</c:v>
                </c:pt>
                <c:pt idx="635">
                  <c:v>-103.11513797244145</c:v>
                </c:pt>
                <c:pt idx="636">
                  <c:v>-102.93158236835967</c:v>
                </c:pt>
                <c:pt idx="637">
                  <c:v>-102.75300864937802</c:v>
                </c:pt>
                <c:pt idx="638">
                  <c:v>-102.57922009151372</c:v>
                </c:pt>
                <c:pt idx="639">
                  <c:v>-102.41003001644255</c:v>
                </c:pt>
                <c:pt idx="640">
                  <c:v>-102.24526116990316</c:v>
                </c:pt>
                <c:pt idx="641">
                  <c:v>-102.08474514479603</c:v>
                </c:pt>
                <c:pt idx="642">
                  <c:v>-101.92832184535374</c:v>
                </c:pt>
                <c:pt idx="643">
                  <c:v>-101.77583898908148</c:v>
                </c:pt>
                <c:pt idx="644">
                  <c:v>-101.62715164345978</c:v>
                </c:pt>
                <c:pt idx="645">
                  <c:v>-101.48212179466609</c:v>
                </c:pt>
                <c:pt idx="646">
                  <c:v>-101.34061794581052</c:v>
                </c:pt>
                <c:pt idx="647">
                  <c:v>-101.20251474239909</c:v>
                </c:pt>
                <c:pt idx="648">
                  <c:v>-101.06769262293224</c:v>
                </c:pt>
                <c:pt idx="649">
                  <c:v>-100.93603749272607</c:v>
                </c:pt>
                <c:pt idx="650">
                  <c:v>-100.80744041920458</c:v>
                </c:pt>
                <c:pt idx="651">
                  <c:v>-100.68179734705789</c:v>
                </c:pt>
                <c:pt idx="652">
                  <c:v>-100.55900883179417</c:v>
                </c:pt>
                <c:pt idx="653">
                  <c:v>-100.43897979033612</c:v>
                </c:pt>
                <c:pt idx="654">
                  <c:v>-100.32161926742003</c:v>
                </c:pt>
                <c:pt idx="655">
                  <c:v>-100.20684021665934</c:v>
                </c:pt>
                <c:pt idx="656">
                  <c:v>-100.09455929522338</c:v>
                </c:pt>
                <c:pt idx="657">
                  <c:v>-99.984696671167001</c:v>
                </c:pt>
                <c:pt idx="658">
                  <c:v>-99.87717584252259</c:v>
                </c:pt>
                <c:pt idx="659">
                  <c:v>-99.771923467335867</c:v>
                </c:pt>
                <c:pt idx="660">
                  <c:v>-99.668869203889471</c:v>
                </c:pt>
                <c:pt idx="661">
                  <c:v>-99.567945560418167</c:v>
                </c:pt>
                <c:pt idx="662">
                  <c:v>-99.469087753671616</c:v>
                </c:pt>
                <c:pt idx="663">
                  <c:v>-99.372233575729254</c:v>
                </c:pt>
                <c:pt idx="664">
                  <c:v>-99.277323268518074</c:v>
                </c:pt>
                <c:pt idx="665">
                  <c:v>-99.184299405523248</c:v>
                </c:pt>
                <c:pt idx="666">
                  <c:v>-99.093106780220509</c:v>
                </c:pt>
                <c:pt idx="667">
                  <c:v>-99.003692300793304</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57.065218524218096</c:v>
                </c:pt>
                <c:pt idx="1">
                  <c:v>51.745598080570446</c:v>
                </c:pt>
                <c:pt idx="2">
                  <c:v>48.366983175899037</c:v>
                </c:pt>
                <c:pt idx="3">
                  <c:v>45.919469558086597</c:v>
                </c:pt>
                <c:pt idx="4">
                  <c:v>44.005202939818645</c:v>
                </c:pt>
                <c:pt idx="5">
                  <c:v>42.434635215364523</c:v>
                </c:pt>
                <c:pt idx="6">
                  <c:v>41.103592254762603</c:v>
                </c:pt>
                <c:pt idx="7">
                  <c:v>39.948884518024592</c:v>
                </c:pt>
                <c:pt idx="8">
                  <c:v>38.929356293931939</c:v>
                </c:pt>
                <c:pt idx="9">
                  <c:v>38.016728460711136</c:v>
                </c:pt>
                <c:pt idx="10">
                  <c:v>32.004230034855901</c:v>
                </c:pt>
                <c:pt idx="11">
                  <c:v>28.483958734030818</c:v>
                </c:pt>
                <c:pt idx="12">
                  <c:v>25.985789357943677</c:v>
                </c:pt>
                <c:pt idx="13">
                  <c:v>24.047936650149872</c:v>
                </c:pt>
                <c:pt idx="14">
                  <c:v>22.464571969739872</c:v>
                </c:pt>
                <c:pt idx="15">
                  <c:v>21.125867530715048</c:v>
                </c:pt>
                <c:pt idx="16">
                  <c:v>19.966255463466137</c:v>
                </c:pt>
                <c:pt idx="17">
                  <c:v>18.943439064497397</c:v>
                </c:pt>
                <c:pt idx="18">
                  <c:v>18.028536620906809</c:v>
                </c:pt>
                <c:pt idx="19">
                  <c:v>12.011523595970118</c:v>
                </c:pt>
                <c:pt idx="20">
                  <c:v>8.4955537174883382</c:v>
                </c:pt>
                <c:pt idx="21">
                  <c:v>6.0049540752199597</c:v>
                </c:pt>
                <c:pt idx="22">
                  <c:v>4.0772490007478019</c:v>
                </c:pt>
                <c:pt idx="23">
                  <c:v>2.5064326072888687</c:v>
                </c:pt>
                <c:pt idx="24">
                  <c:v>1.182608975364942</c:v>
                </c:pt>
                <c:pt idx="25">
                  <c:v>4.0173974772029324E-2</c:v>
                </c:pt>
                <c:pt idx="26">
                  <c:v>-0.96319451331594486</c:v>
                </c:pt>
                <c:pt idx="27">
                  <c:v>-1.8563998907897206</c:v>
                </c:pt>
                <c:pt idx="28">
                  <c:v>-5.2352274884963537</c:v>
                </c:pt>
                <c:pt idx="29">
                  <c:v>-7.5376994041325851</c:v>
                </c:pt>
                <c:pt idx="30">
                  <c:v>-9.2298893130478987</c:v>
                </c:pt>
                <c:pt idx="31">
                  <c:v>-10.52204320635963</c:v>
                </c:pt>
                <c:pt idx="32">
                  <c:v>-11.528723686942557</c:v>
                </c:pt>
                <c:pt idx="33">
                  <c:v>-12.320416277746729</c:v>
                </c:pt>
                <c:pt idx="34">
                  <c:v>-12.944349689391501</c:v>
                </c:pt>
                <c:pt idx="35">
                  <c:v>-13.434202465847665</c:v>
                </c:pt>
                <c:pt idx="36">
                  <c:v>-13.815120653281552</c:v>
                </c:pt>
                <c:pt idx="37">
                  <c:v>-14.106527424294386</c:v>
                </c:pt>
                <c:pt idx="38">
                  <c:v>-14.323803912232467</c:v>
                </c:pt>
                <c:pt idx="39">
                  <c:v>-14.479354230128633</c:v>
                </c:pt>
                <c:pt idx="40">
                  <c:v>-14.58331565221172</c:v>
                </c:pt>
                <c:pt idx="41">
                  <c:v>-14.644054116189189</c:v>
                </c:pt>
                <c:pt idx="42">
                  <c:v>-14.668523799288042</c:v>
                </c:pt>
                <c:pt idx="43">
                  <c:v>-14.662536829761862</c:v>
                </c:pt>
                <c:pt idx="44">
                  <c:v>-14.630971114343536</c:v>
                </c:pt>
                <c:pt idx="45">
                  <c:v>-14.577933925689226</c:v>
                </c:pt>
                <c:pt idx="46">
                  <c:v>-14.506892801261779</c:v>
                </c:pt>
                <c:pt idx="47">
                  <c:v>-14.420781603502828</c:v>
                </c:pt>
                <c:pt idx="48">
                  <c:v>-14.322087270465868</c:v>
                </c:pt>
                <c:pt idx="49">
                  <c:v>-14.212921282235165</c:v>
                </c:pt>
                <c:pt idx="50">
                  <c:v>-14.095078859857392</c:v>
                </c:pt>
                <c:pt idx="51">
                  <c:v>-13.970088213339649</c:v>
                </c:pt>
                <c:pt idx="52">
                  <c:v>-13.839251652905906</c:v>
                </c:pt>
                <c:pt idx="53">
                  <c:v>-13.703680006314276</c:v>
                </c:pt>
                <c:pt idx="54">
                  <c:v>-13.56432150328776</c:v>
                </c:pt>
                <c:pt idx="55">
                  <c:v>-13.421986069761374</c:v>
                </c:pt>
                <c:pt idx="56">
                  <c:v>-13.277365802542571</c:v>
                </c:pt>
                <c:pt idx="57">
                  <c:v>-13.131052257536513</c:v>
                </c:pt>
                <c:pt idx="58">
                  <c:v>-12.983551073828348</c:v>
                </c:pt>
                <c:pt idx="59">
                  <c:v>-12.835294365826915</c:v>
                </c:pt>
                <c:pt idx="60">
                  <c:v>-12.68665124205485</c:v>
                </c:pt>
                <c:pt idx="61">
                  <c:v>-12.537936748749882</c:v>
                </c:pt>
                <c:pt idx="62">
                  <c:v>-12.389419486690731</c:v>
                </c:pt>
                <c:pt idx="63">
                  <c:v>-12.241328108585252</c:v>
                </c:pt>
                <c:pt idx="64">
                  <c:v>-12.0938568703708</c:v>
                </c:pt>
                <c:pt idx="65">
                  <c:v>-11.947170381599946</c:v>
                </c:pt>
                <c:pt idx="66">
                  <c:v>-11.801407676685622</c:v>
                </c:pt>
                <c:pt idx="67">
                  <c:v>-11.656685709316388</c:v>
                </c:pt>
                <c:pt idx="68">
                  <c:v>-11.513102356138003</c:v>
                </c:pt>
                <c:pt idx="69">
                  <c:v>-11.370739002269506</c:v>
                </c:pt>
                <c:pt idx="70">
                  <c:v>-11.229662769917855</c:v>
                </c:pt>
                <c:pt idx="71">
                  <c:v>-11.089928441895236</c:v>
                </c:pt>
                <c:pt idx="72">
                  <c:v>-10.951580123915051</c:v>
                </c:pt>
                <c:pt idx="73">
                  <c:v>-10.814652682886919</c:v>
                </c:pt>
                <c:pt idx="74">
                  <c:v>-10.67917299283674</c:v>
                </c:pt>
                <c:pt idx="75">
                  <c:v>-10.545161015366185</c:v>
                </c:pt>
                <c:pt idx="76">
                  <c:v>-10.412630737593759</c:v>
                </c:pt>
                <c:pt idx="77">
                  <c:v>-10.281590987163536</c:v>
                </c:pt>
                <c:pt idx="78">
                  <c:v>-10.152046141069102</c:v>
                </c:pt>
                <c:pt idx="79">
                  <c:v>-10.02399674263496</c:v>
                </c:pt>
                <c:pt idx="80">
                  <c:v>-9.8974400389563488</c:v>
                </c:pt>
                <c:pt idx="81">
                  <c:v>-9.7723704493637236</c:v>
                </c:pt>
                <c:pt idx="82">
                  <c:v>-9.6487799740009663</c:v>
                </c:pt>
                <c:pt idx="83">
                  <c:v>-9.5266585503475518</c:v>
                </c:pt>
                <c:pt idx="84">
                  <c:v>-9.4059943644393957</c:v>
                </c:pt>
                <c:pt idx="85">
                  <c:v>-9.2867741226239193</c:v>
                </c:pt>
                <c:pt idx="86">
                  <c:v>-9.1689832888969995</c:v>
                </c:pt>
                <c:pt idx="87">
                  <c:v>-9.0526062921945343</c:v>
                </c:pt>
                <c:pt idx="88">
                  <c:v>-8.937626707430617</c:v>
                </c:pt>
                <c:pt idx="89">
                  <c:v>-8.8240274135756902</c:v>
                </c:pt>
                <c:pt idx="90">
                  <c:v>-8.7117907316378744</c:v>
                </c:pt>
                <c:pt idx="91">
                  <c:v>-8.6008985450400584</c:v>
                </c:pt>
                <c:pt idx="92">
                  <c:v>-8.4913324045648189</c:v>
                </c:pt>
                <c:pt idx="93">
                  <c:v>-8.3830736197624596</c:v>
                </c:pt>
                <c:pt idx="94">
                  <c:v>-8.2761033384772826</c:v>
                </c:pt>
                <c:pt idx="95">
                  <c:v>-8.1704026159394463</c:v>
                </c:pt>
                <c:pt idx="96">
                  <c:v>-8.0659524746889062</c:v>
                </c:pt>
                <c:pt idx="97">
                  <c:v>-7.9627339564411059</c:v>
                </c:pt>
                <c:pt idx="98">
                  <c:v>-7.8607281668673874</c:v>
                </c:pt>
                <c:pt idx="99">
                  <c:v>-7.7599163141439043</c:v>
                </c:pt>
                <c:pt idx="100">
                  <c:v>-7.6602797420192701</c:v>
                </c:pt>
                <c:pt idx="101">
                  <c:v>-7.5617999580601882</c:v>
                </c:pt>
                <c:pt idx="102">
                  <c:v>-7.4644586576551983</c:v>
                </c:pt>
                <c:pt idx="103">
                  <c:v>-7.3682377442871658</c:v>
                </c:pt>
                <c:pt idx="104">
                  <c:v>-7.2731193465246129</c:v>
                </c:pt>
                <c:pt idx="105">
                  <c:v>-7.1790858321283855</c:v>
                </c:pt>
                <c:pt idx="106">
                  <c:v>-7.0861198196235842</c:v>
                </c:pt>
                <c:pt idx="107">
                  <c:v>-6.9942041876456003</c:v>
                </c:pt>
                <c:pt idx="108">
                  <c:v>-6.903322082332835</c:v>
                </c:pt>
                <c:pt idx="109">
                  <c:v>-6.8134569230070117</c:v>
                </c:pt>
                <c:pt idx="110">
                  <c:v>-6.7245924063539722</c:v>
                </c:pt>
                <c:pt idx="111">
                  <c:v>-6.6367125092930852</c:v>
                </c:pt>
                <c:pt idx="112">
                  <c:v>-6.5498014907017401</c:v>
                </c:pt>
                <c:pt idx="113">
                  <c:v>-6.4638438921420587</c:v>
                </c:pt>
                <c:pt idx="114">
                  <c:v>-6.3788245377200647</c:v>
                </c:pt>
                <c:pt idx="115">
                  <c:v>-6.294728533192532</c:v>
                </c:pt>
                <c:pt idx="116">
                  <c:v>-6.2115412644233832</c:v>
                </c:pt>
                <c:pt idx="117">
                  <c:v>-6.1292483952798467</c:v>
                </c:pt>
                <c:pt idx="118">
                  <c:v>-6.047835865048123</c:v>
                </c:pt>
                <c:pt idx="119">
                  <c:v>-5.9672898854391008</c:v>
                </c:pt>
                <c:pt idx="120">
                  <c:v>-5.887596937246494</c:v>
                </c:pt>
                <c:pt idx="121">
                  <c:v>-5.8087437667125403</c:v>
                </c:pt>
                <c:pt idx="122">
                  <c:v>-5.7307173816498818</c:v>
                </c:pt>
                <c:pt idx="123">
                  <c:v>-5.6535050473626578</c:v>
                </c:pt>
                <c:pt idx="124">
                  <c:v>-5.5770942824047323</c:v>
                </c:pt>
                <c:pt idx="125">
                  <c:v>-5.5014728542083784</c:v>
                </c:pt>
                <c:pt idx="126">
                  <c:v>-5.4266287746128956</c:v>
                </c:pt>
                <c:pt idx="127">
                  <c:v>-5.3525502953189843</c:v>
                </c:pt>
                <c:pt idx="128">
                  <c:v>-5.2792259032915432</c:v>
                </c:pt>
                <c:pt idx="129">
                  <c:v>-5.2066443161307943</c:v>
                </c:pt>
                <c:pt idx="130">
                  <c:v>-5.1347944774291481</c:v>
                </c:pt>
                <c:pt idx="131">
                  <c:v>-5.0636655521288834</c:v>
                </c:pt>
                <c:pt idx="132">
                  <c:v>-4.9932469218939595</c:v>
                </c:pt>
                <c:pt idx="133">
                  <c:v>-4.923528180507299</c:v>
                </c:pt>
                <c:pt idx="134">
                  <c:v>-4.8544991293034707</c:v>
                </c:pt>
                <c:pt idx="135">
                  <c:v>-4.7861497726453379</c:v>
                </c:pt>
                <c:pt idx="136">
                  <c:v>-4.7184703134517978</c:v>
                </c:pt>
                <c:pt idx="137">
                  <c:v>-4.6514511487829644</c:v>
                </c:pt>
                <c:pt idx="138">
                  <c:v>-4.5850828654879061</c:v>
                </c:pt>
                <c:pt idx="139">
                  <c:v>-4.5193562359193535</c:v>
                </c:pt>
                <c:pt idx="140">
                  <c:v>-4.4542622137189518</c:v>
                </c:pt>
                <c:pt idx="141">
                  <c:v>-4.3897919296760417</c:v>
                </c:pt>
                <c:pt idx="142">
                  <c:v>-4.3259366876622334</c:v>
                </c:pt>
                <c:pt idx="143">
                  <c:v>-4.2626879606436869</c:v>
                </c:pt>
                <c:pt idx="144">
                  <c:v>-4.2000373867723564</c:v>
                </c:pt>
                <c:pt idx="145">
                  <c:v>-4.1379767655572284</c:v>
                </c:pt>
                <c:pt idx="146">
                  <c:v>-4.0764980541160565</c:v>
                </c:pt>
                <c:pt idx="147">
                  <c:v>-4.015593363507997</c:v>
                </c:pt>
                <c:pt idx="148">
                  <c:v>-3.9552549551470251</c:v>
                </c:pt>
                <c:pt idx="149">
                  <c:v>-3.8954752372959378</c:v>
                </c:pt>
                <c:pt idx="150">
                  <c:v>-3.8362467616405471</c:v>
                </c:pt>
                <c:pt idx="151">
                  <c:v>-3.7775622199433871</c:v>
                </c:pt>
                <c:pt idx="152">
                  <c:v>-3.7194144407761422</c:v>
                </c:pt>
                <c:pt idx="153">
                  <c:v>-3.661796386329943</c:v>
                </c:pt>
                <c:pt idx="154">
                  <c:v>-3.604701149302501</c:v>
                </c:pt>
                <c:pt idx="155">
                  <c:v>-3.5481219498608678</c:v>
                </c:pt>
                <c:pt idx="156">
                  <c:v>-3.4920521326787424</c:v>
                </c:pt>
                <c:pt idx="157">
                  <c:v>-3.4364851640469878</c:v>
                </c:pt>
                <c:pt idx="158">
                  <c:v>-3.381414629056045</c:v>
                </c:pt>
                <c:pt idx="159">
                  <c:v>-3.3268342288489086</c:v>
                </c:pt>
                <c:pt idx="160">
                  <c:v>-3.2727377779431732</c:v>
                </c:pt>
                <c:pt idx="161">
                  <c:v>-3.2191192016209103</c:v>
                </c:pt>
                <c:pt idx="162">
                  <c:v>-3.1659725333846884</c:v>
                </c:pt>
                <c:pt idx="163">
                  <c:v>-3.1132919124785201</c:v>
                </c:pt>
                <c:pt idx="164">
                  <c:v>-3.0610715814720875</c:v>
                </c:pt>
                <c:pt idx="165">
                  <c:v>-3.0093058839069342</c:v>
                </c:pt>
                <c:pt idx="166">
                  <c:v>-2.9579892620030441</c:v>
                </c:pt>
                <c:pt idx="167">
                  <c:v>-2.9071162544244666</c:v>
                </c:pt>
                <c:pt idx="168">
                  <c:v>-2.856681494102463</c:v>
                </c:pt>
                <c:pt idx="169">
                  <c:v>-2.8066797061148359</c:v>
                </c:pt>
                <c:pt idx="170">
                  <c:v>-2.7571057056199502</c:v>
                </c:pt>
                <c:pt idx="171">
                  <c:v>-2.7079543958441303</c:v>
                </c:pt>
                <c:pt idx="172">
                  <c:v>-2.659220766121023</c:v>
                </c:pt>
                <c:pt idx="173">
                  <c:v>-2.6108998899816256</c:v>
                </c:pt>
                <c:pt idx="174">
                  <c:v>-2.5629869232935976</c:v>
                </c:pt>
                <c:pt idx="175">
                  <c:v>-2.5154771024486249</c:v>
                </c:pt>
                <c:pt idx="176">
                  <c:v>-2.4683657425965064</c:v>
                </c:pt>
                <c:pt idx="177">
                  <c:v>-2.4216482359247737</c:v>
                </c:pt>
                <c:pt idx="178">
                  <c:v>-2.3753200499826059</c:v>
                </c:pt>
                <c:pt idx="179">
                  <c:v>-2.3293767260477862</c:v>
                </c:pt>
                <c:pt idx="180">
                  <c:v>-2.2838138775356529</c:v>
                </c:pt>
                <c:pt idx="181">
                  <c:v>-2.2386271884488189</c:v>
                </c:pt>
                <c:pt idx="182">
                  <c:v>-2.1938124118665687</c:v>
                </c:pt>
                <c:pt idx="183">
                  <c:v>-2.1493653684728415</c:v>
                </c:pt>
                <c:pt idx="184">
                  <c:v>-2.1052819451217979</c:v>
                </c:pt>
                <c:pt idx="185">
                  <c:v>-2.0615580934398587</c:v>
                </c:pt>
                <c:pt idx="186">
                  <c:v>-2.018189828463242</c:v>
                </c:pt>
                <c:pt idx="187">
                  <c:v>-1.9751732273100902</c:v>
                </c:pt>
                <c:pt idx="188">
                  <c:v>-1.9325044278860781</c:v>
                </c:pt>
                <c:pt idx="189">
                  <c:v>-1.8901796276227589</c:v>
                </c:pt>
                <c:pt idx="190">
                  <c:v>-1.8481950822475899</c:v>
                </c:pt>
                <c:pt idx="191">
                  <c:v>-1.8065471045848653</c:v>
                </c:pt>
                <c:pt idx="192">
                  <c:v>-1.7652320633866279</c:v>
                </c:pt>
                <c:pt idx="193">
                  <c:v>-1.7242463821927978</c:v>
                </c:pt>
                <c:pt idx="194">
                  <c:v>-1.6835865382196546</c:v>
                </c:pt>
                <c:pt idx="195">
                  <c:v>-1.643249061275907</c:v>
                </c:pt>
                <c:pt idx="196">
                  <c:v>-1.603230532705576</c:v>
                </c:pt>
                <c:pt idx="197">
                  <c:v>-1.5635275843570307</c:v>
                </c:pt>
                <c:pt idx="198">
                  <c:v>-1.5241368975772753</c:v>
                </c:pt>
                <c:pt idx="199">
                  <c:v>-1.4850552022310002</c:v>
                </c:pt>
                <c:pt idx="200">
                  <c:v>-1.4462792757435636</c:v>
                </c:pt>
                <c:pt idx="201">
                  <c:v>-1.4078059421673026</c:v>
                </c:pt>
                <c:pt idx="202">
                  <c:v>-1.3696320712705257</c:v>
                </c:pt>
                <c:pt idx="203">
                  <c:v>-1.3317545776485864</c:v>
                </c:pt>
                <c:pt idx="204">
                  <c:v>-1.2941704198563699</c:v>
                </c:pt>
                <c:pt idx="205">
                  <c:v>-1.256876599561666</c:v>
                </c:pt>
                <c:pt idx="206">
                  <c:v>-1.2198701607188189</c:v>
                </c:pt>
                <c:pt idx="207">
                  <c:v>-1.1831481887621593</c:v>
                </c:pt>
                <c:pt idx="208">
                  <c:v>-1.1467078098185601</c:v>
                </c:pt>
                <c:pt idx="209">
                  <c:v>-1.1105461899387374</c:v>
                </c:pt>
                <c:pt idx="210">
                  <c:v>-1.0746605343467082</c:v>
                </c:pt>
                <c:pt idx="211">
                  <c:v>-1.039048086706875</c:v>
                </c:pt>
                <c:pt idx="212">
                  <c:v>-1.0037061284083899</c:v>
                </c:pt>
                <c:pt idx="213">
                  <c:v>-0.96863197786618516</c:v>
                </c:pt>
                <c:pt idx="214">
                  <c:v>-0.93382298983832901</c:v>
                </c:pt>
                <c:pt idx="215">
                  <c:v>-0.89927655475920232</c:v>
                </c:pt>
                <c:pt idx="216">
                  <c:v>-0.8649900980881009</c:v>
                </c:pt>
                <c:pt idx="217">
                  <c:v>-0.83096107967287181</c:v>
                </c:pt>
                <c:pt idx="218">
                  <c:v>-0.79718699312810171</c:v>
                </c:pt>
                <c:pt idx="219">
                  <c:v>-0.76366536522759476</c:v>
                </c:pt>
                <c:pt idx="220">
                  <c:v>-0.73039375531061645</c:v>
                </c:pt>
                <c:pt idx="221">
                  <c:v>-0.69736975470167506</c:v>
                </c:pt>
                <c:pt idx="222">
                  <c:v>-0.66459098614337087</c:v>
                </c:pt>
                <c:pt idx="223">
                  <c:v>-0.63205510324205449</c:v>
                </c:pt>
                <c:pt idx="224">
                  <c:v>-0.59975978992588164</c:v>
                </c:pt>
                <c:pt idx="225">
                  <c:v>-0.56770275991502794</c:v>
                </c:pt>
                <c:pt idx="226">
                  <c:v>-0.25975535772695629</c:v>
                </c:pt>
                <c:pt idx="227">
                  <c:v>2.6675978622440207E-2</c:v>
                </c:pt>
                <c:pt idx="228">
                  <c:v>0.2934574244536774</c:v>
                </c:pt>
                <c:pt idx="229">
                  <c:v>0.54224759611849582</c:v>
                </c:pt>
                <c:pt idx="230">
                  <c:v>0.77452731950403431</c:v>
                </c:pt>
                <c:pt idx="231">
                  <c:v>0.991624056724556</c:v>
                </c:pt>
                <c:pt idx="232">
                  <c:v>1.1947321178716617</c:v>
                </c:pt>
                <c:pt idx="233">
                  <c:v>1.3849295204315548</c:v>
                </c:pt>
                <c:pt idx="234">
                  <c:v>1.5631921613016995</c:v>
                </c:pt>
                <c:pt idx="235">
                  <c:v>1.7304058175538071</c:v>
                </c:pt>
                <c:pt idx="236">
                  <c:v>1.8873763793953975</c:v>
                </c:pt>
                <c:pt idx="237">
                  <c:v>2.0348386328853865</c:v>
                </c:pt>
                <c:pt idx="238">
                  <c:v>2.1734638440780332</c:v>
                </c:pt>
                <c:pt idx="239">
                  <c:v>2.3038663454309476</c:v>
                </c:pt>
                <c:pt idx="240">
                  <c:v>2.4266092858428228</c:v>
                </c:pt>
                <c:pt idx="241">
                  <c:v>2.5422096748595036</c:v>
                </c:pt>
                <c:pt idx="242">
                  <c:v>2.6511428273674436</c:v>
                </c:pt>
                <c:pt idx="243">
                  <c:v>2.7538462959507588</c:v>
                </c:pt>
                <c:pt idx="244">
                  <c:v>2.8507233628693314</c:v>
                </c:pt>
                <c:pt idx="245">
                  <c:v>2.9421461514426945</c:v>
                </c:pt>
                <c:pt idx="246">
                  <c:v>3.02845840683025</c:v>
                </c:pt>
                <c:pt idx="247">
                  <c:v>3.1099779882698768</c:v>
                </c:pt>
                <c:pt idx="248">
                  <c:v>3.1869991083800011</c:v>
                </c:pt>
                <c:pt idx="249">
                  <c:v>3.2597943498393662</c:v>
                </c:pt>
                <c:pt idx="250">
                  <c:v>3.3286164853971445</c:v>
                </c:pt>
                <c:pt idx="251">
                  <c:v>3.3937001235487601</c:v>
                </c:pt>
                <c:pt idx="252">
                  <c:v>3.4552631991950431</c:v>
                </c:pt>
                <c:pt idx="253">
                  <c:v>3.5135083260695992</c:v>
                </c:pt>
                <c:pt idx="254">
                  <c:v>3.5686240255820811</c:v>
                </c:pt>
                <c:pt idx="255">
                  <c:v>3.6207858449109893</c:v>
                </c:pt>
                <c:pt idx="256">
                  <c:v>3.670157375632348</c:v>
                </c:pt>
                <c:pt idx="257">
                  <c:v>3.7168911828434141</c:v>
                </c:pt>
                <c:pt idx="258">
                  <c:v>3.7611296535975565</c:v>
                </c:pt>
                <c:pt idx="259">
                  <c:v>3.8030057724765873</c:v>
                </c:pt>
                <c:pt idx="260">
                  <c:v>3.8426438312670745</c:v>
                </c:pt>
                <c:pt idx="261">
                  <c:v>3.880160078956095</c:v>
                </c:pt>
                <c:pt idx="262">
                  <c:v>3.9156633176049214</c:v>
                </c:pt>
                <c:pt idx="263">
                  <c:v>3.9492554490809346</c:v>
                </c:pt>
                <c:pt idx="264">
                  <c:v>3.9810319771187364</c:v>
                </c:pt>
                <c:pt idx="265">
                  <c:v>4.0110824687309901</c:v>
                </c:pt>
                <c:pt idx="266">
                  <c:v>4.0394909785900275</c:v>
                </c:pt>
                <c:pt idx="267">
                  <c:v>4.0663364396462915</c:v>
                </c:pt>
                <c:pt idx="268">
                  <c:v>4.0916930229335797</c:v>
                </c:pt>
                <c:pt idx="269">
                  <c:v>4.1156304692285355</c:v>
                </c:pt>
                <c:pt idx="270">
                  <c:v>4.1382143949797836</c:v>
                </c:pt>
                <c:pt idx="271">
                  <c:v>4.1595065746954791</c:v>
                </c:pt>
                <c:pt idx="272">
                  <c:v>4.1795652017756648</c:v>
                </c:pt>
                <c:pt idx="273">
                  <c:v>4.1984451295928338</c:v>
                </c:pt>
                <c:pt idx="274">
                  <c:v>4.2161980944605721</c:v>
                </c:pt>
                <c:pt idx="275">
                  <c:v>4.2328729219818602</c:v>
                </c:pt>
                <c:pt idx="276">
                  <c:v>4.2485157181354829</c:v>
                </c:pt>
                <c:pt idx="277">
                  <c:v>4.2631700463382796</c:v>
                </c:pt>
                <c:pt idx="278">
                  <c:v>4.2768770916122838</c:v>
                </c:pt>
                <c:pt idx="279">
                  <c:v>4.2896758128870811</c:v>
                </c:pt>
                <c:pt idx="280">
                  <c:v>4.3016030843784741</c:v>
                </c:pt>
                <c:pt idx="281">
                  <c:v>4.3126938269036401</c:v>
                </c:pt>
                <c:pt idx="282">
                  <c:v>4.3229811299194347</c:v>
                </c:pt>
                <c:pt idx="283">
                  <c:v>4.332496365003883</c:v>
                </c:pt>
                <c:pt idx="284">
                  <c:v>4.341269291440323</c:v>
                </c:pt>
                <c:pt idx="285">
                  <c:v>4.3493281545083597</c:v>
                </c:pt>
                <c:pt idx="286">
                  <c:v>4.3566997770358391</c:v>
                </c:pt>
                <c:pt idx="287">
                  <c:v>4.3634096447202531</c:v>
                </c:pt>
                <c:pt idx="288">
                  <c:v>4.3694819856863267</c:v>
                </c:pt>
                <c:pt idx="289">
                  <c:v>4.3749398447086492</c:v>
                </c:pt>
                <c:pt idx="290">
                  <c:v>4.3798051524934465</c:v>
                </c:pt>
                <c:pt idx="291">
                  <c:v>4.3840987903820627</c:v>
                </c:pt>
                <c:pt idx="292">
                  <c:v>4.3878406508097303</c:v>
                </c:pt>
                <c:pt idx="293">
                  <c:v>4.3910496938268109</c:v>
                </c:pt>
                <c:pt idx="294">
                  <c:v>4.3937439999654782</c:v>
                </c:pt>
                <c:pt idx="295">
                  <c:v>4.3959408197127239</c:v>
                </c:pt>
                <c:pt idx="296">
                  <c:v>4.3976566198303093</c:v>
                </c:pt>
                <c:pt idx="297">
                  <c:v>4.3989071267436106</c:v>
                </c:pt>
                <c:pt idx="298">
                  <c:v>4.399707367204412</c:v>
                </c:pt>
                <c:pt idx="299">
                  <c:v>4.4000717064169761</c:v>
                </c:pt>
                <c:pt idx="300">
                  <c:v>4.4000138838024565</c:v>
                </c:pt>
                <c:pt idx="301">
                  <c:v>4.3995470465634563</c:v>
                </c:pt>
                <c:pt idx="302">
                  <c:v>4.3986837811985771</c:v>
                </c:pt>
                <c:pt idx="303">
                  <c:v>4.3974361431054874</c:v>
                </c:pt>
                <c:pt idx="304">
                  <c:v>4.3958156844009828</c:v>
                </c:pt>
                <c:pt idx="305">
                  <c:v>4.3938334800770154</c:v>
                </c:pt>
                <c:pt idx="306">
                  <c:v>4.3915001526029416</c:v>
                </c:pt>
                <c:pt idx="307">
                  <c:v>4.3888258950763985</c:v>
                </c:pt>
                <c:pt idx="308">
                  <c:v>4.3858204930176976</c:v>
                </c:pt>
                <c:pt idx="309">
                  <c:v>4.3824933448958872</c:v>
                </c:pt>
                <c:pt idx="310">
                  <c:v>4.3788534814684938</c:v>
                </c:pt>
                <c:pt idx="311">
                  <c:v>4.3749095840108598</c:v>
                </c:pt>
                <c:pt idx="312">
                  <c:v>4.3706700015060722</c:v>
                </c:pt>
                <c:pt idx="313">
                  <c:v>4.3661427668611319</c:v>
                </c:pt>
                <c:pt idx="314">
                  <c:v>4.361335612210743</c:v>
                </c:pt>
                <c:pt idx="315">
                  <c:v>4.3562559833657257</c:v>
                </c:pt>
                <c:pt idx="316">
                  <c:v>4.3509110534591811</c:v>
                </c:pt>
                <c:pt idx="317">
                  <c:v>4.3453077358399934</c:v>
                </c:pt>
                <c:pt idx="318">
                  <c:v>4.3394526962597855</c:v>
                </c:pt>
                <c:pt idx="319">
                  <c:v>4.3333523643964282</c:v>
                </c:pt>
                <c:pt idx="320">
                  <c:v>4.3270129447542658</c:v>
                </c:pt>
                <c:pt idx="321">
                  <c:v>4.320440426978652</c:v>
                </c:pt>
                <c:pt idx="322">
                  <c:v>4.3136405956197663</c:v>
                </c:pt>
                <c:pt idx="323">
                  <c:v>4.306619039378492</c:v>
                </c:pt>
                <c:pt idx="324">
                  <c:v>4.2993811598649909</c:v>
                </c:pt>
                <c:pt idx="325">
                  <c:v>4.291932179898553</c:v>
                </c:pt>
                <c:pt idx="326">
                  <c:v>4.2842771513755551</c:v>
                </c:pt>
                <c:pt idx="327">
                  <c:v>4.2764209627305467</c:v>
                </c:pt>
                <c:pt idx="328">
                  <c:v>4.2683683460139941</c:v>
                </c:pt>
                <c:pt idx="329">
                  <c:v>4.2601238836086059</c:v>
                </c:pt>
                <c:pt idx="330">
                  <c:v>4.2516920146048776</c:v>
                </c:pt>
                <c:pt idx="331">
                  <c:v>4.2430770408551721</c:v>
                </c:pt>
                <c:pt idx="332">
                  <c:v>4.2342831327244319</c:v>
                </c:pt>
                <c:pt idx="333">
                  <c:v>4.2253143345545086</c:v>
                </c:pt>
                <c:pt idx="334">
                  <c:v>4.216174569858099</c:v>
                </c:pt>
                <c:pt idx="335">
                  <c:v>4.2068676462572094</c:v>
                </c:pt>
                <c:pt idx="336">
                  <c:v>4.197397260180205</c:v>
                </c:pt>
                <c:pt idx="337">
                  <c:v>4.1877670013307462</c:v>
                </c:pt>
                <c:pt idx="338">
                  <c:v>4.1779803569409317</c:v>
                </c:pt>
                <c:pt idx="339">
                  <c:v>4.168040715820359</c:v>
                </c:pt>
                <c:pt idx="340">
                  <c:v>4.1579513722120911</c:v>
                </c:pt>
                <c:pt idx="341">
                  <c:v>4.147715529465855</c:v>
                </c:pt>
                <c:pt idx="342">
                  <c:v>4.137336303538242</c:v>
                </c:pt>
                <c:pt idx="343">
                  <c:v>4.1268167263289692</c:v>
                </c:pt>
                <c:pt idx="344">
                  <c:v>4.1161597488619277</c:v>
                </c:pt>
                <c:pt idx="345">
                  <c:v>4.1053682443191244</c:v>
                </c:pt>
                <c:pt idx="346">
                  <c:v>4.0944450109350905</c:v>
                </c:pt>
                <c:pt idx="347">
                  <c:v>4.0833927747591483</c:v>
                </c:pt>
                <c:pt idx="348">
                  <c:v>4.0722141922921526</c:v>
                </c:pt>
                <c:pt idx="349">
                  <c:v>4.0609118530042965</c:v>
                </c:pt>
                <c:pt idx="350">
                  <c:v>4.0494882817399596</c:v>
                </c:pt>
                <c:pt idx="351">
                  <c:v>4.0379459410153382</c:v>
                </c:pt>
                <c:pt idx="352">
                  <c:v>4.0262872332142789</c:v>
                </c:pt>
                <c:pt idx="353">
                  <c:v>4.0145145026874154</c:v>
                </c:pt>
                <c:pt idx="354">
                  <c:v>4.0026300377594417</c:v>
                </c:pt>
                <c:pt idx="355">
                  <c:v>3.9906360726490782</c:v>
                </c:pt>
                <c:pt idx="356">
                  <c:v>3.9785347893060097</c:v>
                </c:pt>
                <c:pt idx="357">
                  <c:v>3.9663283191689653</c:v>
                </c:pt>
                <c:pt idx="358">
                  <c:v>3.9540187448486948</c:v>
                </c:pt>
                <c:pt idx="359">
                  <c:v>3.9416081017395816</c:v>
                </c:pt>
                <c:pt idx="360">
                  <c:v>3.9290983795632135</c:v>
                </c:pt>
                <c:pt idx="361">
                  <c:v>3.9164915238474558</c:v>
                </c:pt>
                <c:pt idx="362">
                  <c:v>3.9037894373437476</c:v>
                </c:pt>
                <c:pt idx="363">
                  <c:v>3.8909939813859018</c:v>
                </c:pt>
                <c:pt idx="364">
                  <c:v>3.8781069771929837</c:v>
                </c:pt>
                <c:pt idx="365">
                  <c:v>3.8651302071189875</c:v>
                </c:pt>
                <c:pt idx="366">
                  <c:v>3.8520654158517909</c:v>
                </c:pt>
                <c:pt idx="367">
                  <c:v>3.83891431156378</c:v>
                </c:pt>
                <c:pt idx="368">
                  <c:v>3.8256785670163551</c:v>
                </c:pt>
                <c:pt idx="369">
                  <c:v>3.8123598206204878</c:v>
                </c:pt>
                <c:pt idx="370">
                  <c:v>3.7989596774553345</c:v>
                </c:pt>
                <c:pt idx="371">
                  <c:v>3.7854797102468503</c:v>
                </c:pt>
                <c:pt idx="372">
                  <c:v>3.7719214603082056</c:v>
                </c:pt>
                <c:pt idx="373">
                  <c:v>3.7582864384437453</c:v>
                </c:pt>
                <c:pt idx="374">
                  <c:v>3.7445761258181842</c:v>
                </c:pt>
                <c:pt idx="375">
                  <c:v>3.730791974792496</c:v>
                </c:pt>
                <c:pt idx="376">
                  <c:v>3.7169354097281122</c:v>
                </c:pt>
                <c:pt idx="377">
                  <c:v>3.7030078277607688</c:v>
                </c:pt>
                <c:pt idx="378">
                  <c:v>3.6890105995453526</c:v>
                </c:pt>
                <c:pt idx="379">
                  <c:v>3.6749450699730506</c:v>
                </c:pt>
                <c:pt idx="380">
                  <c:v>3.660812558862018</c:v>
                </c:pt>
                <c:pt idx="381">
                  <c:v>3.6466143616226669</c:v>
                </c:pt>
                <c:pt idx="382">
                  <c:v>3.6323517498987927</c:v>
                </c:pt>
                <c:pt idx="383">
                  <c:v>3.6180259721854489</c:v>
                </c:pt>
                <c:pt idx="384">
                  <c:v>3.603638254424709</c:v>
                </c:pt>
                <c:pt idx="385">
                  <c:v>3.5891898005801282</c:v>
                </c:pt>
                <c:pt idx="386">
                  <c:v>3.5746817931909525</c:v>
                </c:pt>
                <c:pt idx="387">
                  <c:v>3.5601153939067887</c:v>
                </c:pt>
                <c:pt idx="388">
                  <c:v>3.5454917440037108</c:v>
                </c:pt>
                <c:pt idx="389">
                  <c:v>3.5308119648824881</c:v>
                </c:pt>
                <c:pt idx="390">
                  <c:v>3.5160771585496722</c:v>
                </c:pt>
                <c:pt idx="391">
                  <c:v>3.5012884080823508</c:v>
                </c:pt>
                <c:pt idx="392">
                  <c:v>3.4864467780771502</c:v>
                </c:pt>
                <c:pt idx="393">
                  <c:v>3.4715533150841886</c:v>
                </c:pt>
                <c:pt idx="394">
                  <c:v>3.4566090480265959</c:v>
                </c:pt>
                <c:pt idx="395">
                  <c:v>3.4416149886061618</c:v>
                </c:pt>
                <c:pt idx="396">
                  <c:v>3.4265721316956887</c:v>
                </c:pt>
                <c:pt idx="397">
                  <c:v>3.4114814557186284</c:v>
                </c:pt>
                <c:pt idx="398">
                  <c:v>3.39634392301646</c:v>
                </c:pt>
                <c:pt idx="399">
                  <c:v>3.3811604802042874</c:v>
                </c:pt>
                <c:pt idx="400">
                  <c:v>3.3659320585152432</c:v>
                </c:pt>
                <c:pt idx="401">
                  <c:v>3.3506595741339575</c:v>
                </c:pt>
                <c:pt idx="402">
                  <c:v>3.3353439285197255</c:v>
                </c:pt>
                <c:pt idx="403">
                  <c:v>3.3199860087195936</c:v>
                </c:pt>
                <c:pt idx="404">
                  <c:v>3.3045866876719026</c:v>
                </c:pt>
                <c:pt idx="405">
                  <c:v>3.2891468245005728</c:v>
                </c:pt>
                <c:pt idx="406">
                  <c:v>3.2736672648005256</c:v>
                </c:pt>
                <c:pt idx="407">
                  <c:v>3.2581488409145747</c:v>
                </c:pt>
                <c:pt idx="408">
                  <c:v>3.2425923722020897</c:v>
                </c:pt>
                <c:pt idx="409">
                  <c:v>3.2269986652998228</c:v>
                </c:pt>
                <c:pt idx="410">
                  <c:v>3.211368514375077</c:v>
                </c:pt>
                <c:pt idx="411">
                  <c:v>3.1957027013716148</c:v>
                </c:pt>
                <c:pt idx="412">
                  <c:v>3.1800019962485009</c:v>
                </c:pt>
                <c:pt idx="413">
                  <c:v>3.1642671572122119</c:v>
                </c:pt>
                <c:pt idx="414">
                  <c:v>3.1484989309421825</c:v>
                </c:pt>
                <c:pt idx="415">
                  <c:v>3.1326980528101087</c:v>
                </c:pt>
                <c:pt idx="416">
                  <c:v>3.1168652470931759</c:v>
                </c:pt>
                <c:pt idx="417">
                  <c:v>3.1010012271814724</c:v>
                </c:pt>
                <c:pt idx="418">
                  <c:v>3.085106695779785</c:v>
                </c:pt>
                <c:pt idx="419">
                  <c:v>3.0691823451039646</c:v>
                </c:pt>
                <c:pt idx="420">
                  <c:v>3.0532288570720896</c:v>
                </c:pt>
                <c:pt idx="421">
                  <c:v>3.037246903490586</c:v>
                </c:pt>
                <c:pt idx="422">
                  <c:v>3.0212371462354799</c:v>
                </c:pt>
                <c:pt idx="423">
                  <c:v>3.0052002374289764</c:v>
                </c:pt>
                <c:pt idx="424">
                  <c:v>2.9891368196115264</c:v>
                </c:pt>
                <c:pt idx="425">
                  <c:v>2.9730475259094802</c:v>
                </c:pt>
                <c:pt idx="426">
                  <c:v>2.9569329801985904</c:v>
                </c:pt>
                <c:pt idx="427">
                  <c:v>2.9407937972634119</c:v>
                </c:pt>
                <c:pt idx="428">
                  <c:v>2.924630582952743</c:v>
                </c:pt>
                <c:pt idx="429">
                  <c:v>2.908443934331336</c:v>
                </c:pt>
                <c:pt idx="430">
                  <c:v>2.892234439827873</c:v>
                </c:pt>
                <c:pt idx="431">
                  <c:v>2.8760026793794431</c:v>
                </c:pt>
                <c:pt idx="432">
                  <c:v>2.8597492245725356</c:v>
                </c:pt>
                <c:pt idx="433">
                  <c:v>2.8434746387807701</c:v>
                </c:pt>
                <c:pt idx="434">
                  <c:v>2.8271794772994028</c:v>
                </c:pt>
                <c:pt idx="435">
                  <c:v>2.8108642874767127</c:v>
                </c:pt>
                <c:pt idx="436">
                  <c:v>2.7945296088423834</c:v>
                </c:pt>
                <c:pt idx="437">
                  <c:v>2.7781759732330213</c:v>
                </c:pt>
                <c:pt idx="438">
                  <c:v>2.7618039049147964</c:v>
                </c:pt>
                <c:pt idx="439">
                  <c:v>2.7454139207034101</c:v>
                </c:pt>
                <c:pt idx="440">
                  <c:v>2.7290065300813988</c:v>
                </c:pt>
                <c:pt idx="441">
                  <c:v>2.7125822353128743</c:v>
                </c:pt>
                <c:pt idx="442">
                  <c:v>2.6961415315558215</c:v>
                </c:pt>
                <c:pt idx="443">
                  <c:v>2.6796849069719322</c:v>
                </c:pt>
                <c:pt idx="444">
                  <c:v>2.6632128428341972</c:v>
                </c:pt>
                <c:pt idx="445">
                  <c:v>2.6467258136321412</c:v>
                </c:pt>
                <c:pt idx="446">
                  <c:v>2.6302242871749506</c:v>
                </c:pt>
                <c:pt idx="447">
                  <c:v>2.6137087246924269</c:v>
                </c:pt>
                <c:pt idx="448">
                  <c:v>2.5971795809338998</c:v>
                </c:pt>
                <c:pt idx="449">
                  <c:v>2.5806373042651276</c:v>
                </c:pt>
                <c:pt idx="450">
                  <c:v>2.5640823367632604</c:v>
                </c:pt>
                <c:pt idx="451">
                  <c:v>2.5475151143099293</c:v>
                </c:pt>
                <c:pt idx="452">
                  <c:v>2.5309360666824627</c:v>
                </c:pt>
                <c:pt idx="453">
                  <c:v>2.5143456176433547</c:v>
                </c:pt>
                <c:pt idx="454">
                  <c:v>2.4977441850280115</c:v>
                </c:pt>
                <c:pt idx="455">
                  <c:v>2.4811321808307754</c:v>
                </c:pt>
                <c:pt idx="456">
                  <c:v>2.4645100112893474</c:v>
                </c:pt>
                <c:pt idx="457">
                  <c:v>2.4478780769675947</c:v>
                </c:pt>
                <c:pt idx="458">
                  <c:v>2.4312367728368467</c:v>
                </c:pt>
                <c:pt idx="459">
                  <c:v>2.4145864883556318</c:v>
                </c:pt>
                <c:pt idx="460">
                  <c:v>2.3979276075479952</c:v>
                </c:pt>
                <c:pt idx="461">
                  <c:v>2.3812605090803722</c:v>
                </c:pt>
                <c:pt idx="462">
                  <c:v>2.3645855663370732</c:v>
                </c:pt>
                <c:pt idx="463">
                  <c:v>2.3479031474944008</c:v>
                </c:pt>
                <c:pt idx="464">
                  <c:v>2.3312136155934882</c:v>
                </c:pt>
                <c:pt idx="465">
                  <c:v>2.3145173286118026</c:v>
                </c:pt>
                <c:pt idx="466">
                  <c:v>2.2978146395334402</c:v>
                </c:pt>
                <c:pt idx="467">
                  <c:v>2.2811058964181949</c:v>
                </c:pt>
                <c:pt idx="468">
                  <c:v>2.2643914424694014</c:v>
                </c:pt>
                <c:pt idx="469">
                  <c:v>2.2476716161006687</c:v>
                </c:pt>
                <c:pt idx="470">
                  <c:v>2.2309467510014387</c:v>
                </c:pt>
                <c:pt idx="471">
                  <c:v>2.2142171762014744</c:v>
                </c:pt>
                <c:pt idx="472">
                  <c:v>2.197483216134251</c:v>
                </c:pt>
                <c:pt idx="473">
                  <c:v>2.1807451906993007</c:v>
                </c:pt>
                <c:pt idx="474">
                  <c:v>2.1640034153235281</c:v>
                </c:pt>
                <c:pt idx="475">
                  <c:v>2.1472582010215251</c:v>
                </c:pt>
                <c:pt idx="476">
                  <c:v>2.1305098544549166</c:v>
                </c:pt>
                <c:pt idx="477">
                  <c:v>2.1137586779907203</c:v>
                </c:pt>
                <c:pt idx="478">
                  <c:v>2.0970049697588151</c:v>
                </c:pt>
                <c:pt idx="479">
                  <c:v>2.0802490237084403</c:v>
                </c:pt>
                <c:pt idx="480">
                  <c:v>2.063491129663853</c:v>
                </c:pt>
                <c:pt idx="481">
                  <c:v>2.0467315733790938</c:v>
                </c:pt>
                <c:pt idx="482">
                  <c:v>2.0299706365918562</c:v>
                </c:pt>
                <c:pt idx="483">
                  <c:v>2.013208597076606</c:v>
                </c:pt>
                <c:pt idx="484">
                  <c:v>1.9964457286968171</c:v>
                </c:pt>
                <c:pt idx="485">
                  <c:v>1.9796823014564096</c:v>
                </c:pt>
                <c:pt idx="486">
                  <c:v>1.962918581550428</c:v>
                </c:pt>
                <c:pt idx="487">
                  <c:v>1.9461548314149535</c:v>
                </c:pt>
                <c:pt idx="488">
                  <c:v>1.9293913097762447</c:v>
                </c:pt>
                <c:pt idx="489">
                  <c:v>1.9126282716991536</c:v>
                </c:pt>
                <c:pt idx="490">
                  <c:v>1.8958659686348209</c:v>
                </c:pt>
                <c:pt idx="491">
                  <c:v>1.879104648467675</c:v>
                </c:pt>
                <c:pt idx="492">
                  <c:v>1.8623445555617089</c:v>
                </c:pt>
                <c:pt idx="493">
                  <c:v>1.8455859308061067</c:v>
                </c:pt>
                <c:pt idx="494">
                  <c:v>1.8288290116602277</c:v>
                </c:pt>
                <c:pt idx="495">
                  <c:v>1.8120740321978501</c:v>
                </c:pt>
                <c:pt idx="496">
                  <c:v>1.7953212231508953</c:v>
                </c:pt>
                <c:pt idx="497">
                  <c:v>1.7785708119524135</c:v>
                </c:pt>
                <c:pt idx="498">
                  <c:v>1.7618230227790421</c:v>
                </c:pt>
                <c:pt idx="499">
                  <c:v>1.7450780765928138</c:v>
                </c:pt>
                <c:pt idx="500">
                  <c:v>1.7283361911823651</c:v>
                </c:pt>
                <c:pt idx="501">
                  <c:v>1.7115975812036113</c:v>
                </c:pt>
                <c:pt idx="502">
                  <c:v>1.6948624582197955</c:v>
                </c:pt>
                <c:pt idx="503">
                  <c:v>1.6781310307410218</c:v>
                </c:pt>
                <c:pt idx="504">
                  <c:v>1.6614035042632227</c:v>
                </c:pt>
                <c:pt idx="505">
                  <c:v>1.6446800813065507</c:v>
                </c:pt>
                <c:pt idx="506">
                  <c:v>1.627960961453333</c:v>
                </c:pt>
                <c:pt idx="507">
                  <c:v>1.6112463413853892</c:v>
                </c:pt>
                <c:pt idx="508">
                  <c:v>1.5945364149209176</c:v>
                </c:pt>
                <c:pt idx="509">
                  <c:v>1.5778313730508622</c:v>
                </c:pt>
                <c:pt idx="510">
                  <c:v>1.5611314039747737</c:v>
                </c:pt>
                <c:pt idx="511">
                  <c:v>1.5444366931361722</c:v>
                </c:pt>
                <c:pt idx="512">
                  <c:v>1.5277474232574688</c:v>
                </c:pt>
                <c:pt idx="513">
                  <c:v>1.5110637743744029</c:v>
                </c:pt>
                <c:pt idx="514">
                  <c:v>1.4943859238699762</c:v>
                </c:pt>
                <c:pt idx="515">
                  <c:v>1.4777140465080203</c:v>
                </c:pt>
                <c:pt idx="516">
                  <c:v>1.4610483144662316</c:v>
                </c:pt>
                <c:pt idx="517">
                  <c:v>1.4443888973688159</c:v>
                </c:pt>
                <c:pt idx="518">
                  <c:v>1.4277359623186912</c:v>
                </c:pt>
                <c:pt idx="519">
                  <c:v>1.4110896739292462</c:v>
                </c:pt>
                <c:pt idx="520">
                  <c:v>1.3944501943557115</c:v>
                </c:pt>
                <c:pt idx="521">
                  <c:v>1.3778176833261038</c:v>
                </c:pt>
                <c:pt idx="522">
                  <c:v>1.361192298171757</c:v>
                </c:pt>
                <c:pt idx="523">
                  <c:v>1.3445741938574642</c:v>
                </c:pt>
                <c:pt idx="524">
                  <c:v>1.3279635230112377</c:v>
                </c:pt>
                <c:pt idx="525">
                  <c:v>1.3113604359536526</c:v>
                </c:pt>
                <c:pt idx="526">
                  <c:v>1.2947650807268443</c:v>
                </c:pt>
                <c:pt idx="527">
                  <c:v>1.2781776031231007</c:v>
                </c:pt>
                <c:pt idx="528">
                  <c:v>1.2615981467131177</c:v>
                </c:pt>
                <c:pt idx="529">
                  <c:v>1.2450268528738544</c:v>
                </c:pt>
                <c:pt idx="530">
                  <c:v>1.2284638608160652</c:v>
                </c:pt>
                <c:pt idx="531">
                  <c:v>1.2119093076114607</c:v>
                </c:pt>
                <c:pt idx="532">
                  <c:v>1.1953633282195169</c:v>
                </c:pt>
                <c:pt idx="533">
                  <c:v>1.1788260555139605</c:v>
                </c:pt>
                <c:pt idx="534">
                  <c:v>1.1622976203088922</c:v>
                </c:pt>
                <c:pt idx="535">
                  <c:v>1.1457781513846179</c:v>
                </c:pt>
                <c:pt idx="536">
                  <c:v>1.1292677755131011</c:v>
                </c:pt>
                <c:pt idx="537">
                  <c:v>1.1127666174831221</c:v>
                </c:pt>
                <c:pt idx="538">
                  <c:v>1.0962748001251386</c:v>
                </c:pt>
                <c:pt idx="539">
                  <c:v>1.0797924443357807</c:v>
                </c:pt>
                <c:pt idx="540">
                  <c:v>1.0633196691020781</c:v>
                </c:pt>
                <c:pt idx="541">
                  <c:v>1.0468565915253814</c:v>
                </c:pt>
                <c:pt idx="542">
                  <c:v>1.0304033268449622</c:v>
                </c:pt>
                <c:pt idx="543">
                  <c:v>1.0139599884613242</c:v>
                </c:pt>
                <c:pt idx="544">
                  <c:v>0.99752668795923749</c:v>
                </c:pt>
                <c:pt idx="545">
                  <c:v>0.98110353513045767</c:v>
                </c:pt>
                <c:pt idx="546">
                  <c:v>0.96469063799619392</c:v>
                </c:pt>
                <c:pt idx="547">
                  <c:v>0.94828810282927911</c:v>
                </c:pt>
                <c:pt idx="548">
                  <c:v>0.93189603417604872</c:v>
                </c:pt>
                <c:pt idx="549">
                  <c:v>0.9155145348779864</c:v>
                </c:pt>
                <c:pt idx="550">
                  <c:v>0.8991437060930495</c:v>
                </c:pt>
                <c:pt idx="551">
                  <c:v>0.88278364731679659</c:v>
                </c:pt>
                <c:pt idx="552">
                  <c:v>0.8664344564031834</c:v>
                </c:pt>
                <c:pt idx="553">
                  <c:v>0.85009622958515707</c:v>
                </c:pt>
                <c:pt idx="554">
                  <c:v>0.83376906149495011</c:v>
                </c:pt>
                <c:pt idx="555">
                  <c:v>0.81745304518416662</c:v>
                </c:pt>
                <c:pt idx="556">
                  <c:v>0.80114827214358741</c:v>
                </c:pt>
                <c:pt idx="557">
                  <c:v>0.78485483232275721</c:v>
                </c:pt>
                <c:pt idx="558">
                  <c:v>0.76857281414930212</c:v>
                </c:pt>
                <c:pt idx="559">
                  <c:v>0.75230230454802527</c:v>
                </c:pt>
                <c:pt idx="560">
                  <c:v>0.73604338895979293</c:v>
                </c:pt>
                <c:pt idx="561">
                  <c:v>0.71979615136012598</c:v>
                </c:pt>
                <c:pt idx="562">
                  <c:v>0.70356067427763624</c:v>
                </c:pt>
                <c:pt idx="563">
                  <c:v>0.68733703881217079</c:v>
                </c:pt>
                <c:pt idx="564">
                  <c:v>0.67112532465278285</c:v>
                </c:pt>
                <c:pt idx="565">
                  <c:v>0.65492561009546424</c:v>
                </c:pt>
                <c:pt idx="566">
                  <c:v>0.63873797206065541</c:v>
                </c:pt>
                <c:pt idx="567">
                  <c:v>0.62256248611054377</c:v>
                </c:pt>
                <c:pt idx="568">
                  <c:v>0.60639922646616085</c:v>
                </c:pt>
                <c:pt idx="569">
                  <c:v>0.59024826602427161</c:v>
                </c:pt>
                <c:pt idx="570">
                  <c:v>0.57410967637402888</c:v>
                </c:pt>
                <c:pt idx="571">
                  <c:v>0.55798352781346583</c:v>
                </c:pt>
                <c:pt idx="572">
                  <c:v>0.54186988936576752</c:v>
                </c:pt>
                <c:pt idx="573">
                  <c:v>0.52576882879532338</c:v>
                </c:pt>
                <c:pt idx="574">
                  <c:v>0.50968041262363895</c:v>
                </c:pt>
                <c:pt idx="575">
                  <c:v>0.49360470614499108</c:v>
                </c:pt>
                <c:pt idx="576">
                  <c:v>0.47754177344194149</c:v>
                </c:pt>
                <c:pt idx="577">
                  <c:v>0.46149167740063607</c:v>
                </c:pt>
                <c:pt idx="578">
                  <c:v>0.44545447972592611</c:v>
                </c:pt>
                <c:pt idx="579">
                  <c:v>0.42943024095631066</c:v>
                </c:pt>
                <c:pt idx="580">
                  <c:v>0.41341902047867907</c:v>
                </c:pt>
                <c:pt idx="581">
                  <c:v>0.39742087654291447</c:v>
                </c:pt>
                <c:pt idx="582">
                  <c:v>0.3814358662762562</c:v>
                </c:pt>
                <c:pt idx="583">
                  <c:v>0.36546404569756169</c:v>
                </c:pt>
                <c:pt idx="584">
                  <c:v>0.34950546973134067</c:v>
                </c:pt>
                <c:pt idx="585">
                  <c:v>0.33356019222164868</c:v>
                </c:pt>
                <c:pt idx="586">
                  <c:v>0.31762826594577792</c:v>
                </c:pt>
                <c:pt idx="587">
                  <c:v>0.3017097426278546</c:v>
                </c:pt>
                <c:pt idx="588">
                  <c:v>0.28580467295217415</c:v>
                </c:pt>
                <c:pt idx="589">
                  <c:v>0.26991310657646067</c:v>
                </c:pt>
                <c:pt idx="590">
                  <c:v>0.25403509214490588</c:v>
                </c:pt>
                <c:pt idx="591">
                  <c:v>0.23817067730109384</c:v>
                </c:pt>
                <c:pt idx="592">
                  <c:v>0.22231990870074619</c:v>
                </c:pt>
                <c:pt idx="593">
                  <c:v>0.20648283202430814</c:v>
                </c:pt>
                <c:pt idx="594">
                  <c:v>0.19065949198940418</c:v>
                </c:pt>
                <c:pt idx="595">
                  <c:v>0.1748499323631347</c:v>
                </c:pt>
                <c:pt idx="596">
                  <c:v>0.1590541959742055</c:v>
                </c:pt>
                <c:pt idx="597">
                  <c:v>0.14327232472494375</c:v>
                </c:pt>
                <c:pt idx="598">
                  <c:v>0.12750435960313977</c:v>
                </c:pt>
                <c:pt idx="599">
                  <c:v>0.11175034069376873</c:v>
                </c:pt>
                <c:pt idx="600">
                  <c:v>9.6010307190554173E-2</c:v>
                </c:pt>
                <c:pt idx="601">
                  <c:v>8.0284297407402616E-2</c:v>
                </c:pt>
                <c:pt idx="602">
                  <c:v>6.457234878967727E-2</c:v>
                </c:pt>
                <c:pt idx="603">
                  <c:v>4.8874497925391759E-2</c:v>
                </c:pt>
                <c:pt idx="604">
                  <c:v>3.3190780556205925E-2</c:v>
                </c:pt>
                <c:pt idx="605">
                  <c:v>1.7521231588306457E-2</c:v>
                </c:pt>
                <c:pt idx="606">
                  <c:v>-0.74733378718406451</c:v>
                </c:pt>
                <c:pt idx="607">
                  <c:v>-1.4747620233870993</c:v>
                </c:pt>
                <c:pt idx="608">
                  <c:v>-2.165212608611764</c:v>
                </c:pt>
                <c:pt idx="609">
                  <c:v>-2.8205005895381308</c:v>
                </c:pt>
                <c:pt idx="610">
                  <c:v>-3.4430312085270867</c:v>
                </c:pt>
                <c:pt idx="611">
                  <c:v>-4.0353859878936387</c:v>
                </c:pt>
                <c:pt idx="612">
                  <c:v>-4.6001080866738588</c:v>
                </c:pt>
                <c:pt idx="613">
                  <c:v>-5.1395972536455687</c:v>
                </c:pt>
                <c:pt idx="614">
                  <c:v>-5.6560646886512522</c:v>
                </c:pt>
                <c:pt idx="615">
                  <c:v>-6.1515201672006814</c:v>
                </c:pt>
                <c:pt idx="616">
                  <c:v>-6.6277760095407769</c:v>
                </c:pt>
                <c:pt idx="617">
                  <c:v>-7.0864593043074073</c:v>
                </c:pt>
                <c:pt idx="618">
                  <c:v>-7.2650010145914106</c:v>
                </c:pt>
                <c:pt idx="619">
                  <c:v>-7.4409116168868694</c:v>
                </c:pt>
                <c:pt idx="620">
                  <c:v>-7.614286847001237</c:v>
                </c:pt>
                <c:pt idx="621">
                  <c:v>-7.7852176502112078</c:v>
                </c:pt>
                <c:pt idx="622">
                  <c:v>-7.9537904696943702</c:v>
                </c:pt>
                <c:pt idx="623">
                  <c:v>-8.1200875149627478</c:v>
                </c:pt>
                <c:pt idx="624">
                  <c:v>-8.2841870118074574</c:v>
                </c:pt>
                <c:pt idx="625">
                  <c:v>-8.4461634351508437</c:v>
                </c:pt>
                <c:pt idx="626">
                  <c:v>-8.6060877260960371</c:v>
                </c:pt>
                <c:pt idx="627">
                  <c:v>-8.7640274943640879</c:v>
                </c:pt>
                <c:pt idx="628">
                  <c:v>-8.9200472072160153</c:v>
                </c:pt>
                <c:pt idx="629">
                  <c:v>-9.0742083658706836</c:v>
                </c:pt>
                <c:pt idx="630">
                  <c:v>-9.226569670349523</c:v>
                </c:pt>
                <c:pt idx="631">
                  <c:v>-9.3771871736051509</c:v>
                </c:pt>
                <c:pt idx="632">
                  <c:v>-9.5261144257229091</c:v>
                </c:pt>
                <c:pt idx="633">
                  <c:v>-9.6734026089215472</c:v>
                </c:pt>
                <c:pt idx="634">
                  <c:v>-9.8191006640215974</c:v>
                </c:pt>
                <c:pt idx="635">
                  <c:v>-9.9632554089969947</c:v>
                </c:pt>
                <c:pt idx="636">
                  <c:v>-10.105911650176818</c:v>
                </c:pt>
                <c:pt idx="637">
                  <c:v>-10.247112286619295</c:v>
                </c:pt>
                <c:pt idx="638">
                  <c:v>-10.3868984081394</c:v>
                </c:pt>
                <c:pt idx="639">
                  <c:v>-10.525309387433548</c:v>
                </c:pt>
                <c:pt idx="640">
                  <c:v>-10.66238296671067</c:v>
                </c:pt>
                <c:pt idx="641">
                  <c:v>-10.798155339207085</c:v>
                </c:pt>
                <c:pt idx="642">
                  <c:v>-10.932661225933833</c:v>
                </c:pt>
                <c:pt idx="643">
                  <c:v>-11.065933947978303</c:v>
                </c:pt>
                <c:pt idx="644">
                  <c:v>-11.198005494657746</c:v>
                </c:pt>
                <c:pt idx="645">
                  <c:v>-11.328906587799759</c:v>
                </c:pt>
                <c:pt idx="646">
                  <c:v>-11.458666742404297</c:v>
                </c:pt>
                <c:pt idx="647">
                  <c:v>-11.587314323922872</c:v>
                </c:pt>
                <c:pt idx="648">
                  <c:v>-11.714876602373195</c:v>
                </c:pt>
                <c:pt idx="649">
                  <c:v>-11.8413798034916</c:v>
                </c:pt>
                <c:pt idx="650">
                  <c:v>-11.966849157110921</c:v>
                </c:pt>
                <c:pt idx="651">
                  <c:v>-12.091308942937907</c:v>
                </c:pt>
                <c:pt idx="652">
                  <c:v>-12.214782533891924</c:v>
                </c:pt>
                <c:pt idx="653">
                  <c:v>-12.337292437155183</c:v>
                </c:pt>
                <c:pt idx="654">
                  <c:v>-12.458860333074162</c:v>
                </c:pt>
                <c:pt idx="655">
                  <c:v>-12.579507112042219</c:v>
                </c:pt>
                <c:pt idx="656">
                  <c:v>-12.699252909484372</c:v>
                </c:pt>
                <c:pt idx="657">
                  <c:v>-12.818117139056923</c:v>
                </c:pt>
                <c:pt idx="658">
                  <c:v>-12.936118524166996</c:v>
                </c:pt>
                <c:pt idx="659">
                  <c:v>-13.053275127909922</c:v>
                </c:pt>
                <c:pt idx="660">
                  <c:v>-13.16960438151594</c:v>
                </c:pt>
                <c:pt idx="661">
                  <c:v>-13.285123111391538</c:v>
                </c:pt>
                <c:pt idx="662">
                  <c:v>-13.399847564835257</c:v>
                </c:pt>
                <c:pt idx="663">
                  <c:v>-13.513793434502437</c:v>
                </c:pt>
                <c:pt idx="664">
                  <c:v>-13.626975881688864</c:v>
                </c:pt>
                <c:pt idx="665">
                  <c:v>-13.739409558498359</c:v>
                </c:pt>
                <c:pt idx="666">
                  <c:v>-13.851108628955767</c:v>
                </c:pt>
                <c:pt idx="667">
                  <c:v>-13.962086789122397</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-243.51248451304488</c:v>
                </c:pt>
                <c:pt idx="1">
                  <c:v>-255.99109018241865</c:v>
                </c:pt>
                <c:pt idx="2">
                  <c:v>-260.53555302663813</c:v>
                </c:pt>
                <c:pt idx="3">
                  <c:v>-262.851100261711</c:v>
                </c:pt>
                <c:pt idx="4">
                  <c:v>-264.24715994163381</c:v>
                </c:pt>
                <c:pt idx="5">
                  <c:v>-265.17751444144881</c:v>
                </c:pt>
                <c:pt idx="6">
                  <c:v>-265.83997270957798</c:v>
                </c:pt>
                <c:pt idx="7">
                  <c:v>-266.334340133316</c:v>
                </c:pt>
                <c:pt idx="8">
                  <c:v>-266.71636715525426</c:v>
                </c:pt>
                <c:pt idx="9">
                  <c:v>-267.01962281627812</c:v>
                </c:pt>
                <c:pt idx="10">
                  <c:v>-268.31506491462261</c:v>
                </c:pt>
                <c:pt idx="11">
                  <c:v>-268.66119773203712</c:v>
                </c:pt>
                <c:pt idx="12">
                  <c:v>-268.7696976810326</c:v>
                </c:pt>
                <c:pt idx="13">
                  <c:v>-268.78311523612786</c:v>
                </c:pt>
                <c:pt idx="14">
                  <c:v>-268.74898644784821</c:v>
                </c:pt>
                <c:pt idx="15">
                  <c:v>-268.68768762027719</c:v>
                </c:pt>
                <c:pt idx="16">
                  <c:v>-268.60940801608285</c:v>
                </c:pt>
                <c:pt idx="17">
                  <c:v>-268.5198088063176</c:v>
                </c:pt>
                <c:pt idx="18">
                  <c:v>-268.42228695791005</c:v>
                </c:pt>
                <c:pt idx="19">
                  <c:v>-267.27295166493042</c:v>
                </c:pt>
                <c:pt idx="20">
                  <c:v>-266.02921872967988</c:v>
                </c:pt>
                <c:pt idx="21">
                  <c:v>-264.76278068423153</c:v>
                </c:pt>
                <c:pt idx="22">
                  <c:v>-263.48826009181573</c:v>
                </c:pt>
                <c:pt idx="23">
                  <c:v>-262.21076567922569</c:v>
                </c:pt>
                <c:pt idx="24">
                  <c:v>-260.93268571750116</c:v>
                </c:pt>
                <c:pt idx="25">
                  <c:v>-259.65538596876502</c:v>
                </c:pt>
                <c:pt idx="26">
                  <c:v>-258.37977531878443</c:v>
                </c:pt>
                <c:pt idx="27">
                  <c:v>-257.10653172580771</c:v>
                </c:pt>
                <c:pt idx="28">
                  <c:v>-250.79283345804157</c:v>
                </c:pt>
                <c:pt idx="29">
                  <c:v>-244.60072926591999</c:v>
                </c:pt>
                <c:pt idx="30">
                  <c:v>-238.56774234637297</c:v>
                </c:pt>
                <c:pt idx="31">
                  <c:v>-232.72399063941728</c:v>
                </c:pt>
                <c:pt idx="32">
                  <c:v>-227.0930982190059</c:v>
                </c:pt>
                <c:pt idx="33">
                  <c:v>-221.69248853071196</c:v>
                </c:pt>
                <c:pt idx="34">
                  <c:v>-216.5337839478205</c:v>
                </c:pt>
                <c:pt idx="35">
                  <c:v>-211.62338069532711</c:v>
                </c:pt>
                <c:pt idx="36">
                  <c:v>-206.96314938170786</c:v>
                </c:pt>
                <c:pt idx="37">
                  <c:v>-202.55119217690032</c:v>
                </c:pt>
                <c:pt idx="38">
                  <c:v>-198.38259584394956</c:v>
                </c:pt>
                <c:pt idx="39">
                  <c:v>-194.45013603913105</c:v>
                </c:pt>
                <c:pt idx="40">
                  <c:v>-190.74490515587911</c:v>
                </c:pt>
                <c:pt idx="41">
                  <c:v>-187.25685034423472</c:v>
                </c:pt>
                <c:pt idx="42">
                  <c:v>-183.97521910791707</c:v>
                </c:pt>
                <c:pt idx="43">
                  <c:v>-180.88891709394878</c:v>
                </c:pt>
                <c:pt idx="44">
                  <c:v>-177.98678690593715</c:v>
                </c:pt>
                <c:pt idx="45">
                  <c:v>-175.25781872650018</c:v>
                </c:pt>
                <c:pt idx="46">
                  <c:v>-172.69130393402284</c:v>
                </c:pt>
                <c:pt idx="47">
                  <c:v>-170.2769423303528</c:v>
                </c:pt>
                <c:pt idx="48">
                  <c:v>-168.00491249952779</c:v>
                </c:pt>
                <c:pt idx="49">
                  <c:v>-165.86591349802507</c:v>
                </c:pt>
                <c:pt idx="50">
                  <c:v>-163.85118472926251</c:v>
                </c:pt>
                <c:pt idx="51">
                  <c:v>-161.95250959250609</c:v>
                </c:pt>
                <c:pt idx="52">
                  <c:v>-160.16220737593062</c:v>
                </c:pt>
                <c:pt idx="53">
                  <c:v>-158.4731169058814</c:v>
                </c:pt>
                <c:pt idx="54">
                  <c:v>-156.87857466806997</c:v>
                </c:pt>
                <c:pt idx="55">
                  <c:v>-155.37238946833318</c:v>
                </c:pt>
                <c:pt idx="56">
                  <c:v>-153.94881518213759</c:v>
                </c:pt>
                <c:pt idx="57">
                  <c:v>-152.60252273326688</c:v>
                </c:pt>
                <c:pt idx="58">
                  <c:v>-151.3285721239493</c:v>
                </c:pt>
                <c:pt idx="59">
                  <c:v>-150.12238509389255</c:v>
                </c:pt>
                <c:pt idx="60">
                  <c:v>-148.97971879948059</c:v>
                </c:pt>
                <c:pt idx="61">
                  <c:v>-147.89664076437074</c:v>
                </c:pt>
                <c:pt idx="62">
                  <c:v>-146.8695052487638</c:v>
                </c:pt>
                <c:pt idx="63">
                  <c:v>-145.8949311085218</c:v>
                </c:pt>
                <c:pt idx="64">
                  <c:v>-144.96978116057514</c:v>
                </c:pt>
                <c:pt idx="65">
                  <c:v>-144.0911430325651</c:v>
                </c:pt>
                <c:pt idx="66">
                  <c:v>-143.25631144841117</c:v>
                </c:pt>
                <c:pt idx="67">
                  <c:v>-142.46277188437199</c:v>
                </c:pt>
                <c:pt idx="68">
                  <c:v>-141.70818551980381</c:v>
                </c:pt>
                <c:pt idx="69">
                  <c:v>-140.99037540138215</c:v>
                </c:pt>
                <c:pt idx="70">
                  <c:v>-140.30731373765656</c:v>
                </c:pt>
                <c:pt idx="71">
                  <c:v>-139.65711024141206</c:v>
                </c:pt>
                <c:pt idx="72">
                  <c:v>-139.0380014396211</c:v>
                </c:pt>
                <c:pt idx="73">
                  <c:v>-138.44834087421347</c:v>
                </c:pt>
                <c:pt idx="74">
                  <c:v>-137.88659012102681</c:v>
                </c:pt>
                <c:pt idx="75">
                  <c:v>-137.35131055882391</c:v>
                </c:pt>
                <c:pt idx="76">
                  <c:v>-136.84115582494107</c:v>
                </c:pt>
                <c:pt idx="77">
                  <c:v>-136.35486489880856</c:v>
                </c:pt>
                <c:pt idx="78">
                  <c:v>-135.89125575915202</c:v>
                </c:pt>
                <c:pt idx="79">
                  <c:v>-135.4492195650634</c:v>
                </c:pt>
                <c:pt idx="80">
                  <c:v>-135.02771531528225</c:v>
                </c:pt>
                <c:pt idx="81">
                  <c:v>-134.62576494392459</c:v>
                </c:pt>
                <c:pt idx="82">
                  <c:v>-134.24244881452319</c:v>
                </c:pt>
                <c:pt idx="83">
                  <c:v>-133.87690157760255</c:v>
                </c:pt>
                <c:pt idx="84">
                  <c:v>-133.52830836010673</c:v>
                </c:pt>
                <c:pt idx="85">
                  <c:v>-133.19590125783836</c:v>
                </c:pt>
                <c:pt idx="86">
                  <c:v>-132.87895610466813</c:v>
                </c:pt>
                <c:pt idx="87">
                  <c:v>-132.57678949464685</c:v>
                </c:pt>
                <c:pt idx="88">
                  <c:v>-132.28875603531625</c:v>
                </c:pt>
                <c:pt idx="89">
                  <c:v>-132.01424581248241</c:v>
                </c:pt>
                <c:pt idx="90">
                  <c:v>-131.75268204850471</c:v>
                </c:pt>
                <c:pt idx="91">
                  <c:v>-131.50351893777705</c:v>
                </c:pt>
                <c:pt idx="92">
                  <c:v>-131.26623964455186</c:v>
                </c:pt>
                <c:pt idx="93">
                  <c:v>-131.04035444959436</c:v>
                </c:pt>
                <c:pt idx="94">
                  <c:v>-130.82539903336516</c:v>
                </c:pt>
                <c:pt idx="95">
                  <c:v>-130.62093288452894</c:v>
                </c:pt>
                <c:pt idx="96">
                  <c:v>-130.42653782358173</c:v>
                </c:pt>
                <c:pt idx="97">
                  <c:v>-130.2418166322924</c:v>
                </c:pt>
                <c:pt idx="98">
                  <c:v>-130.06639178047129</c:v>
                </c:pt>
                <c:pt idx="99">
                  <c:v>-129.89990424232241</c:v>
                </c:pt>
                <c:pt idx="100">
                  <c:v>-129.74201239530663</c:v>
                </c:pt>
                <c:pt idx="101">
                  <c:v>-129.59239099505609</c:v>
                </c:pt>
                <c:pt idx="102">
                  <c:v>-129.45073022043226</c:v>
                </c:pt>
                <c:pt idx="103">
                  <c:v>-129.31673478332556</c:v>
                </c:pt>
                <c:pt idx="104">
                  <c:v>-129.19012309824964</c:v>
                </c:pt>
                <c:pt idx="105">
                  <c:v>-129.07062650720107</c:v>
                </c:pt>
                <c:pt idx="106">
                  <c:v>-128.95798855563135</c:v>
                </c:pt>
                <c:pt idx="107">
                  <c:v>-128.85196431572442</c:v>
                </c:pt>
                <c:pt idx="108">
                  <c:v>-128.75231975348322</c:v>
                </c:pt>
                <c:pt idx="109">
                  <c:v>-128.65883113641706</c:v>
                </c:pt>
                <c:pt idx="110">
                  <c:v>-128.57128447887936</c:v>
                </c:pt>
                <c:pt idx="111">
                  <c:v>-128.48947502234404</c:v>
                </c:pt>
                <c:pt idx="112">
                  <c:v>-128.41320674812431</c:v>
                </c:pt>
                <c:pt idx="113">
                  <c:v>-128.34229192023599</c:v>
                </c:pt>
                <c:pt idx="114">
                  <c:v>-128.27655065628772</c:v>
                </c:pt>
                <c:pt idx="115">
                  <c:v>-128.21581052444577</c:v>
                </c:pt>
                <c:pt idx="116">
                  <c:v>-128.15990616467258</c:v>
                </c:pt>
                <c:pt idx="117">
                  <c:v>-128.1086789325754</c:v>
                </c:pt>
                <c:pt idx="118">
                  <c:v>-128.06197656432994</c:v>
                </c:pt>
                <c:pt idx="119">
                  <c:v>-128.01965286125835</c:v>
                </c:pt>
                <c:pt idx="120">
                  <c:v>-127.98156739274822</c:v>
                </c:pt>
                <c:pt idx="121">
                  <c:v>-127.94758521629788</c:v>
                </c:pt>
                <c:pt idx="122">
                  <c:v>-127.91757661356107</c:v>
                </c:pt>
                <c:pt idx="123">
                  <c:v>-127.89141684134883</c:v>
                </c:pt>
                <c:pt idx="124">
                  <c:v>-127.8689858966209</c:v>
                </c:pt>
                <c:pt idx="125">
                  <c:v>-127.8501682945691</c:v>
                </c:pt>
                <c:pt idx="126">
                  <c:v>-127.83485285896025</c:v>
                </c:pt>
                <c:pt idx="127">
                  <c:v>-127.82293252396406</c:v>
                </c:pt>
                <c:pt idx="128">
                  <c:v>-127.81430414674716</c:v>
                </c:pt>
                <c:pt idx="129">
                  <c:v>-127.80886833016433</c:v>
                </c:pt>
                <c:pt idx="130">
                  <c:v>-127.80652925492495</c:v>
                </c:pt>
                <c:pt idx="131">
                  <c:v>-127.80719452065433</c:v>
                </c:pt>
                <c:pt idx="132">
                  <c:v>-127.81077499531128</c:v>
                </c:pt>
                <c:pt idx="133">
                  <c:v>-127.81718467245832</c:v>
                </c:pt>
                <c:pt idx="134">
                  <c:v>-127.82634053591511</c:v>
                </c:pt>
                <c:pt idx="135">
                  <c:v>-127.83816243135834</c:v>
                </c:pt>
                <c:pt idx="136">
                  <c:v>-127.85257294445827</c:v>
                </c:pt>
                <c:pt idx="137">
                  <c:v>-127.86949728517149</c:v>
                </c:pt>
                <c:pt idx="138">
                  <c:v>-127.88886317783219</c:v>
                </c:pt>
                <c:pt idx="139">
                  <c:v>-127.91060075670904</c:v>
                </c:pt>
                <c:pt idx="140">
                  <c:v>-127.93464246671584</c:v>
                </c:pt>
                <c:pt idx="141">
                  <c:v>-127.96092296898345</c:v>
                </c:pt>
                <c:pt idx="142">
                  <c:v>-127.98937905102026</c:v>
                </c:pt>
                <c:pt idx="143">
                  <c:v>-128.01994954120443</c:v>
                </c:pt>
                <c:pt idx="144">
                  <c:v>-128.05257522736841</c:v>
                </c:pt>
                <c:pt idx="145">
                  <c:v>-128.08719877925046</c:v>
                </c:pt>
                <c:pt idx="146">
                  <c:v>-128.1237646746018</c:v>
                </c:pt>
                <c:pt idx="147">
                  <c:v>-128.16221912875142</c:v>
                </c:pt>
                <c:pt idx="148">
                  <c:v>-128.2025100274422</c:v>
                </c:pt>
                <c:pt idx="149">
                  <c:v>-128.24458686276381</c:v>
                </c:pt>
                <c:pt idx="150">
                  <c:v>-128.2884006720177</c:v>
                </c:pt>
                <c:pt idx="151">
                  <c:v>-128.3339039793598</c:v>
                </c:pt>
                <c:pt idx="152">
                  <c:v>-128.38105074007564</c:v>
                </c:pt>
                <c:pt idx="153">
                  <c:v>-128.42979628735094</c:v>
                </c:pt>
                <c:pt idx="154">
                  <c:v>-128.48009728140877</c:v>
                </c:pt>
                <c:pt idx="155">
                  <c:v>-128.53191166089275</c:v>
                </c:pt>
                <c:pt idx="156">
                  <c:v>-128.58519859638051</c:v>
                </c:pt>
                <c:pt idx="157">
                  <c:v>-128.63991844592115</c:v>
                </c:pt>
                <c:pt idx="158">
                  <c:v>-128.69603271249429</c:v>
                </c:pt>
                <c:pt idx="159">
                  <c:v>-128.75350400329489</c:v>
                </c:pt>
                <c:pt idx="160">
                  <c:v>-128.81229599075363</c:v>
                </c:pt>
                <c:pt idx="161">
                  <c:v>-128.8723733752071</c:v>
                </c:pt>
                <c:pt idx="162">
                  <c:v>-128.93370184913775</c:v>
                </c:pt>
                <c:pt idx="163">
                  <c:v>-128.99624806290618</c:v>
                </c:pt>
                <c:pt idx="164">
                  <c:v>-129.05997959190503</c:v>
                </c:pt>
                <c:pt idx="165">
                  <c:v>-129.12486490506581</c:v>
                </c:pt>
                <c:pt idx="166">
                  <c:v>-129.19087333465353</c:v>
                </c:pt>
                <c:pt idx="167">
                  <c:v>-129.25797504728962</c:v>
                </c:pt>
                <c:pt idx="168">
                  <c:v>-129.32614101614382</c:v>
                </c:pt>
                <c:pt idx="169">
                  <c:v>-129.39534299424182</c:v>
                </c:pt>
                <c:pt idx="170">
                  <c:v>-129.46555348883538</c:v>
                </c:pt>
                <c:pt idx="171">
                  <c:v>-129.53674573678754</c:v>
                </c:pt>
                <c:pt idx="172">
                  <c:v>-129.60889368092492</c:v>
                </c:pt>
                <c:pt idx="173">
                  <c:v>-129.68197194731383</c:v>
                </c:pt>
                <c:pt idx="174">
                  <c:v>-129.75595582341819</c:v>
                </c:pt>
                <c:pt idx="175">
                  <c:v>-129.83082123709943</c:v>
                </c:pt>
                <c:pt idx="176">
                  <c:v>-129.90654473642087</c:v>
                </c:pt>
                <c:pt idx="177">
                  <c:v>-129.98310347022093</c:v>
                </c:pt>
                <c:pt idx="178">
                  <c:v>-130.06047516942039</c:v>
                </c:pt>
                <c:pt idx="179">
                  <c:v>-130.13863812903293</c:v>
                </c:pt>
                <c:pt idx="180">
                  <c:v>-130.2175711908466</c:v>
                </c:pt>
                <c:pt idx="181">
                  <c:v>-130.29725372674852</c:v>
                </c:pt>
                <c:pt idx="182">
                  <c:v>-130.37766562266376</c:v>
                </c:pt>
                <c:pt idx="183">
                  <c:v>-130.45878726308337</c:v>
                </c:pt>
                <c:pt idx="184">
                  <c:v>-130.54059951615514</c:v>
                </c:pt>
                <c:pt idx="185">
                  <c:v>-130.62308371931439</c:v>
                </c:pt>
                <c:pt idx="186">
                  <c:v>-130.70622166543134</c:v>
                </c:pt>
                <c:pt idx="187">
                  <c:v>-130.7899955894533</c:v>
                </c:pt>
                <c:pt idx="188">
                  <c:v>-130.87438815552184</c:v>
                </c:pt>
                <c:pt idx="189">
                  <c:v>-130.95938244454427</c:v>
                </c:pt>
                <c:pt idx="190">
                  <c:v>-131.04496194220181</c:v>
                </c:pt>
                <c:pt idx="191">
                  <c:v>-131.13111052737531</c:v>
                </c:pt>
                <c:pt idx="192">
                  <c:v>-131.21781246097277</c:v>
                </c:pt>
                <c:pt idx="193">
                  <c:v>-131.30505237514146</c:v>
                </c:pt>
                <c:pt idx="194">
                  <c:v>-131.39281526284972</c:v>
                </c:pt>
                <c:pt idx="195">
                  <c:v>-131.48108646782316</c:v>
                </c:pt>
                <c:pt idx="196">
                  <c:v>-131.56985167482185</c:v>
                </c:pt>
                <c:pt idx="197">
                  <c:v>-131.65909690024404</c:v>
                </c:pt>
                <c:pt idx="198">
                  <c:v>-131.74880848304448</c:v>
                </c:pt>
                <c:pt idx="199">
                  <c:v>-131.83897307595456</c:v>
                </c:pt>
                <c:pt idx="200">
                  <c:v>-131.92957763699238</c:v>
                </c:pt>
                <c:pt idx="201">
                  <c:v>-132.02060942125186</c:v>
                </c:pt>
                <c:pt idx="202">
                  <c:v>-132.11205597296009</c:v>
                </c:pt>
                <c:pt idx="203">
                  <c:v>-132.2039051177924</c:v>
                </c:pt>
                <c:pt idx="204">
                  <c:v>-132.29614495543544</c:v>
                </c:pt>
                <c:pt idx="205">
                  <c:v>-132.38876385238925</c:v>
                </c:pt>
                <c:pt idx="206">
                  <c:v>-132.48175043499842</c:v>
                </c:pt>
                <c:pt idx="207">
                  <c:v>-132.57509358270491</c:v>
                </c:pt>
                <c:pt idx="208">
                  <c:v>-132.66878242151316</c:v>
                </c:pt>
                <c:pt idx="209">
                  <c:v>-132.76280631766048</c:v>
                </c:pt>
                <c:pt idx="210">
                  <c:v>-132.85715487148448</c:v>
                </c:pt>
                <c:pt idx="211">
                  <c:v>-132.95181791148082</c:v>
                </c:pt>
                <c:pt idx="212">
                  <c:v>-133.04678548854406</c:v>
                </c:pt>
                <c:pt idx="213">
                  <c:v>-133.1420478703848</c:v>
                </c:pt>
                <c:pt idx="214">
                  <c:v>-133.2375955361174</c:v>
                </c:pt>
                <c:pt idx="215">
                  <c:v>-133.33341917101117</c:v>
                </c:pt>
                <c:pt idx="216">
                  <c:v>-133.42950966140026</c:v>
                </c:pt>
                <c:pt idx="217">
                  <c:v>-133.5258580897455</c:v>
                </c:pt>
                <c:pt idx="218">
                  <c:v>-133.62245572984378</c:v>
                </c:pt>
                <c:pt idx="219">
                  <c:v>-133.7192940421792</c:v>
                </c:pt>
                <c:pt idx="220">
                  <c:v>-133.8163646694112</c:v>
                </c:pt>
                <c:pt idx="221">
                  <c:v>-133.91365943199503</c:v>
                </c:pt>
                <c:pt idx="222">
                  <c:v>-134.01117032392932</c:v>
                </c:pt>
                <c:pt idx="223">
                  <c:v>-134.10888950862758</c:v>
                </c:pt>
                <c:pt idx="224">
                  <c:v>-134.20680931490833</c:v>
                </c:pt>
                <c:pt idx="225">
                  <c:v>-134.3049222330998</c:v>
                </c:pt>
                <c:pt idx="226">
                  <c:v>-135.29512865654587</c:v>
                </c:pt>
                <c:pt idx="227">
                  <c:v>-136.29745182281331</c:v>
                </c:pt>
                <c:pt idx="228">
                  <c:v>-137.30654200078064</c:v>
                </c:pt>
                <c:pt idx="229">
                  <c:v>-138.31804206205348</c:v>
                </c:pt>
                <c:pt idx="230">
                  <c:v>-139.3283988508459</c:v>
                </c:pt>
                <c:pt idx="231">
                  <c:v>-140.33471562646898</c:v>
                </c:pt>
                <c:pt idx="232">
                  <c:v>-141.33463526079103</c:v>
                </c:pt>
                <c:pt idx="233">
                  <c:v>-142.32624678156267</c:v>
                </c:pt>
                <c:pt idx="234">
                  <c:v>-143.30800986642629</c:v>
                </c:pt>
                <c:pt idx="235">
                  <c:v>-144.27869330660994</c:v>
                </c:pt>
                <c:pt idx="236">
                  <c:v>-145.23732446549334</c:v>
                </c:pt>
                <c:pt idx="237">
                  <c:v>-146.1831474821056</c:v>
                </c:pt>
                <c:pt idx="238">
                  <c:v>-147.11558849804402</c:v>
                </c:pt>
                <c:pt idx="239">
                  <c:v>-148.03422657594956</c:v>
                </c:pt>
                <c:pt idx="240">
                  <c:v>-148.93876926815861</c:v>
                </c:pt>
                <c:pt idx="241">
                  <c:v>-149.82903201303725</c:v>
                </c:pt>
                <c:pt idx="242">
                  <c:v>-150.70492070316109</c:v>
                </c:pt>
                <c:pt idx="243">
                  <c:v>-151.56641689768477</c:v>
                </c:pt>
                <c:pt idx="244">
                  <c:v>-152.41356525080468</c:v>
                </c:pt>
                <c:pt idx="245">
                  <c:v>-153.2464628062896</c:v>
                </c:pt>
                <c:pt idx="246">
                  <c:v>-154.06524986983641</c:v>
                </c:pt>
                <c:pt idx="247">
                  <c:v>-154.87010222033481</c:v>
                </c:pt>
                <c:pt idx="248">
                  <c:v>-155.66122446083472</c:v>
                </c:pt>
                <c:pt idx="249">
                  <c:v>-156.43884434223477</c:v>
                </c:pt>
                <c:pt idx="250">
                  <c:v>-157.20320791905186</c:v>
                </c:pt>
                <c:pt idx="251">
                  <c:v>-157.95457541831519</c:v>
                </c:pt>
                <c:pt idx="252">
                  <c:v>-158.69321772059001</c:v>
                </c:pt>
                <c:pt idx="253">
                  <c:v>-159.41941336710013</c:v>
                </c:pt>
                <c:pt idx="254">
                  <c:v>-160.13344601945491</c:v>
                </c:pt>
                <c:pt idx="255">
                  <c:v>-160.83560230903444</c:v>
                </c:pt>
                <c:pt idx="256">
                  <c:v>-161.52617002200429</c:v>
                </c:pt>
                <c:pt idx="257">
                  <c:v>-162.20543657349594</c:v>
                </c:pt>
                <c:pt idx="258">
                  <c:v>-162.87368773093112</c:v>
                </c:pt>
                <c:pt idx="259">
                  <c:v>-163.53120655196767</c:v>
                </c:pt>
                <c:pt idx="260">
                  <c:v>-164.17827250725634</c:v>
                </c:pt>
                <c:pt idx="261">
                  <c:v>-164.81516076223738</c:v>
                </c:pt>
                <c:pt idx="262">
                  <c:v>-165.44214159568619</c:v>
                </c:pt>
                <c:pt idx="263">
                  <c:v>-166.05947993570965</c:v>
                </c:pt>
                <c:pt idx="264">
                  <c:v>-166.66743499648175</c:v>
                </c:pt>
                <c:pt idx="265">
                  <c:v>-167.2662600012419</c:v>
                </c:pt>
                <c:pt idx="266">
                  <c:v>-167.85620197900982</c:v>
                </c:pt>
                <c:pt idx="267">
                  <c:v>-168.43750162414921</c:v>
                </c:pt>
                <c:pt idx="268">
                  <c:v>-169.01039320935993</c:v>
                </c:pt>
                <c:pt idx="269">
                  <c:v>-169.57510454394105</c:v>
                </c:pt>
                <c:pt idx="270">
                  <c:v>-170.13185697025875</c:v>
                </c:pt>
                <c:pt idx="271">
                  <c:v>-170.68086539230296</c:v>
                </c:pt>
                <c:pt idx="272">
                  <c:v>-171.22233833104337</c:v>
                </c:pt>
                <c:pt idx="273">
                  <c:v>-171.75647800201023</c:v>
                </c:pt>
                <c:pt idx="274">
                  <c:v>-172.28348041115234</c:v>
                </c:pt>
                <c:pt idx="275">
                  <c:v>-172.8035354655652</c:v>
                </c:pt>
                <c:pt idx="276">
                  <c:v>-173.31682709615461</c:v>
                </c:pt>
                <c:pt idx="277">
                  <c:v>-173.82353338971186</c:v>
                </c:pt>
                <c:pt idx="278">
                  <c:v>-174.32382672823391</c:v>
                </c:pt>
                <c:pt idx="279">
                  <c:v>-174.81787393363143</c:v>
                </c:pt>
                <c:pt idx="280">
                  <c:v>-175.30583641623841</c:v>
                </c:pt>
                <c:pt idx="281">
                  <c:v>-175.78787032577117</c:v>
                </c:pt>
                <c:pt idx="282">
                  <c:v>-176.26412670358854</c:v>
                </c:pt>
                <c:pt idx="283">
                  <c:v>-176.73475163528209</c:v>
                </c:pt>
                <c:pt idx="284">
                  <c:v>-177.19988640277791</c:v>
                </c:pt>
                <c:pt idx="285">
                  <c:v>-177.65966763526609</c:v>
                </c:pt>
                <c:pt idx="286">
                  <c:v>-178.11422745838806</c:v>
                </c:pt>
                <c:pt idx="287">
                  <c:v>-178.56369364121173</c:v>
                </c:pt>
                <c:pt idx="288">
                  <c:v>-179.00818974061229</c:v>
                </c:pt>
                <c:pt idx="289">
                  <c:v>-179.44783524274828</c:v>
                </c:pt>
                <c:pt idx="290">
                  <c:v>-179.88274570138898</c:v>
                </c:pt>
                <c:pt idx="291">
                  <c:v>-180.31303287290322</c:v>
                </c:pt>
                <c:pt idx="292">
                  <c:v>-180.7388048477672</c:v>
                </c:pt>
                <c:pt idx="293">
                  <c:v>-181.16016617848976</c:v>
                </c:pt>
                <c:pt idx="294">
                  <c:v>-181.57721800388725</c:v>
                </c:pt>
                <c:pt idx="295">
                  <c:v>-181.99005816967113</c:v>
                </c:pt>
                <c:pt idx="296">
                  <c:v>-182.39878134533447</c:v>
                </c:pt>
                <c:pt idx="297">
                  <c:v>-182.80347913734613</c:v>
                </c:pt>
                <c:pt idx="298">
                  <c:v>-183.20424019867829</c:v>
                </c:pt>
                <c:pt idx="299">
                  <c:v>-183.60115033470743</c:v>
                </c:pt>
                <c:pt idx="300">
                  <c:v>-183.99429260554177</c:v>
                </c:pt>
                <c:pt idx="301">
                  <c:v>-184.38374742483796</c:v>
                </c:pt>
                <c:pt idx="302">
                  <c:v>-184.76959265517661</c:v>
                </c:pt>
                <c:pt idx="303">
                  <c:v>-185.15190370007497</c:v>
                </c:pt>
                <c:pt idx="304">
                  <c:v>-185.53075359271747</c:v>
                </c:pt>
                <c:pt idx="305">
                  <c:v>-185.90621308149076</c:v>
                </c:pt>
                <c:pt idx="306">
                  <c:v>-186.27835071241111</c:v>
                </c:pt>
                <c:pt idx="307">
                  <c:v>-186.64723290853442</c:v>
                </c:pt>
                <c:pt idx="308">
                  <c:v>-187.01292404644033</c:v>
                </c:pt>
                <c:pt idx="309">
                  <c:v>-187.37548652988218</c:v>
                </c:pt>
                <c:pt idx="310">
                  <c:v>-187.73498086069372</c:v>
                </c:pt>
                <c:pt idx="311">
                  <c:v>-188.09146570704419</c:v>
                </c:pt>
                <c:pt idx="312">
                  <c:v>-188.44499796913195</c:v>
                </c:pt>
                <c:pt idx="313">
                  <c:v>-188.79563284240405</c:v>
                </c:pt>
                <c:pt idx="314">
                  <c:v>-189.14342387839056</c:v>
                </c:pt>
                <c:pt idx="315">
                  <c:v>-189.48842304323784</c:v>
                </c:pt>
                <c:pt idx="316">
                  <c:v>-189.8306807740247</c:v>
                </c:pt>
                <c:pt idx="317">
                  <c:v>-190.17024603294263</c:v>
                </c:pt>
                <c:pt idx="318">
                  <c:v>-190.50716635941981</c:v>
                </c:pt>
                <c:pt idx="319">
                  <c:v>-190.84148792026525</c:v>
                </c:pt>
                <c:pt idx="320">
                  <c:v>-191.17325555790825</c:v>
                </c:pt>
                <c:pt idx="321">
                  <c:v>-191.50251283680575</c:v>
                </c:pt>
                <c:pt idx="322">
                  <c:v>-191.82930208808713</c:v>
                </c:pt>
                <c:pt idx="323">
                  <c:v>-192.15366445250498</c:v>
                </c:pt>
                <c:pt idx="324">
                  <c:v>-192.47563992175694</c:v>
                </c:pt>
                <c:pt idx="325">
                  <c:v>-192.79526737824168</c:v>
                </c:pt>
                <c:pt idx="326">
                  <c:v>-193.11258463331089</c:v>
                </c:pt>
                <c:pt idx="327">
                  <c:v>-193.42762846407507</c:v>
                </c:pt>
                <c:pt idx="328">
                  <c:v>-193.74043464882033</c:v>
                </c:pt>
                <c:pt idx="329">
                  <c:v>-194.05103800109066</c:v>
                </c:pt>
                <c:pt idx="330">
                  <c:v>-194.35947240248836</c:v>
                </c:pt>
                <c:pt idx="331">
                  <c:v>-194.66577083424261</c:v>
                </c:pt>
                <c:pt idx="332">
                  <c:v>-194.96996540759534</c:v>
                </c:pt>
                <c:pt idx="333">
                  <c:v>-195.27208739305036</c:v>
                </c:pt>
                <c:pt idx="334">
                  <c:v>-195.57216724853154</c:v>
                </c:pt>
                <c:pt idx="335">
                  <c:v>-195.87023464649238</c:v>
                </c:pt>
                <c:pt idx="336">
                  <c:v>-196.16631850001826</c:v>
                </c:pt>
                <c:pt idx="337">
                  <c:v>-196.46044698796177</c:v>
                </c:pt>
                <c:pt idx="338">
                  <c:v>-196.75264757914877</c:v>
                </c:pt>
                <c:pt idx="339">
                  <c:v>-197.04294705569174</c:v>
                </c:pt>
                <c:pt idx="340">
                  <c:v>-197.3313715354459</c:v>
                </c:pt>
                <c:pt idx="341">
                  <c:v>-197.61794649364134</c:v>
                </c:pt>
                <c:pt idx="342">
                  <c:v>-197.90269678372405</c:v>
                </c:pt>
                <c:pt idx="343">
                  <c:v>-198.18564665743625</c:v>
                </c:pt>
                <c:pt idx="344">
                  <c:v>-198.46681978416649</c:v>
                </c:pt>
                <c:pt idx="345">
                  <c:v>-198.74623926959728</c:v>
                </c:pt>
                <c:pt idx="346">
                  <c:v>-199.02392767367851</c:v>
                </c:pt>
                <c:pt idx="347">
                  <c:v>-199.29990702795206</c:v>
                </c:pt>
                <c:pt idx="348">
                  <c:v>-199.57419885225343</c:v>
                </c:pt>
                <c:pt idx="349">
                  <c:v>-199.84682417081447</c:v>
                </c:pt>
                <c:pt idx="350">
                  <c:v>-200.1178035277899</c:v>
                </c:pt>
                <c:pt idx="351">
                  <c:v>-200.38715700223059</c:v>
                </c:pt>
                <c:pt idx="352">
                  <c:v>-200.65490422252441</c:v>
                </c:pt>
                <c:pt idx="353">
                  <c:v>-200.9210643803253</c:v>
                </c:pt>
                <c:pt idx="354">
                  <c:v>-201.18565624398994</c:v>
                </c:pt>
                <c:pt idx="355">
                  <c:v>-201.44869817154165</c:v>
                </c:pt>
                <c:pt idx="356">
                  <c:v>-201.71020812317838</c:v>
                </c:pt>
                <c:pt idx="357">
                  <c:v>-201.97020367334289</c:v>
                </c:pt>
                <c:pt idx="358">
                  <c:v>-202.228702022372</c:v>
                </c:pt>
                <c:pt idx="359">
                  <c:v>-202.48572000773996</c:v>
                </c:pt>
                <c:pt idx="360">
                  <c:v>-202.74127411491204</c:v>
                </c:pt>
                <c:pt idx="361">
                  <c:v>-202.9953804878227</c:v>
                </c:pt>
                <c:pt idx="362">
                  <c:v>-203.24805493899251</c:v>
                </c:pt>
                <c:pt idx="363">
                  <c:v>-203.49931295929727</c:v>
                </c:pt>
                <c:pt idx="364">
                  <c:v>-203.7491697274026</c:v>
                </c:pt>
                <c:pt idx="365">
                  <c:v>-203.99764011887598</c:v>
                </c:pt>
                <c:pt idx="366">
                  <c:v>-204.24473871498887</c:v>
                </c:pt>
                <c:pt idx="367">
                  <c:v>-204.49047981121976</c:v>
                </c:pt>
                <c:pt idx="368">
                  <c:v>-204.73487742546956</c:v>
                </c:pt>
                <c:pt idx="369">
                  <c:v>-204.97794530600012</c:v>
                </c:pt>
                <c:pt idx="370">
                  <c:v>-205.2196969391054</c:v>
                </c:pt>
                <c:pt idx="371">
                  <c:v>-205.46014555652582</c:v>
                </c:pt>
                <c:pt idx="372">
                  <c:v>-205.69930414261461</c:v>
                </c:pt>
                <c:pt idx="373">
                  <c:v>-205.93718544126574</c:v>
                </c:pt>
                <c:pt idx="374">
                  <c:v>-206.17380196261152</c:v>
                </c:pt>
                <c:pt idx="375">
                  <c:v>-206.40916598949869</c:v>
                </c:pt>
                <c:pt idx="376">
                  <c:v>-206.64328958375069</c:v>
                </c:pt>
                <c:pt idx="377">
                  <c:v>-206.87618459222398</c:v>
                </c:pt>
                <c:pt idx="378">
                  <c:v>-207.10786265266586</c:v>
                </c:pt>
                <c:pt idx="379">
                  <c:v>-207.33833519938088</c:v>
                </c:pt>
                <c:pt idx="380">
                  <c:v>-207.56761346871232</c:v>
                </c:pt>
                <c:pt idx="381">
                  <c:v>-207.79570850434601</c:v>
                </c:pt>
                <c:pt idx="382">
                  <c:v>-208.02263116244228</c:v>
                </c:pt>
                <c:pt idx="383">
                  <c:v>-208.24839211660219</c:v>
                </c:pt>
                <c:pt idx="384">
                  <c:v>-208.47300186267435</c:v>
                </c:pt>
                <c:pt idx="385">
                  <c:v>-208.69647072340712</c:v>
                </c:pt>
                <c:pt idx="386">
                  <c:v>-208.91880885295257</c:v>
                </c:pt>
                <c:pt idx="387">
                  <c:v>-209.14002624122671</c:v>
                </c:pt>
                <c:pt idx="388">
                  <c:v>-209.3601327181313</c:v>
                </c:pt>
                <c:pt idx="389">
                  <c:v>-209.57913795764202</c:v>
                </c:pt>
                <c:pt idx="390">
                  <c:v>-209.79705148176771</c:v>
                </c:pt>
                <c:pt idx="391">
                  <c:v>-210.01388266438494</c:v>
                </c:pt>
                <c:pt idx="392">
                  <c:v>-210.22964073495262</c:v>
                </c:pt>
                <c:pt idx="393">
                  <c:v>-210.44433478211042</c:v>
                </c:pt>
                <c:pt idx="394">
                  <c:v>-210.65797375716505</c:v>
                </c:pt>
                <c:pt idx="395">
                  <c:v>-210.87056647746849</c:v>
                </c:pt>
                <c:pt idx="396">
                  <c:v>-211.0821216296917</c:v>
                </c:pt>
                <c:pt idx="397">
                  <c:v>-211.29264777299727</c:v>
                </c:pt>
                <c:pt idx="398">
                  <c:v>-211.50215334211478</c:v>
                </c:pt>
                <c:pt idx="399">
                  <c:v>-211.71064665032168</c:v>
                </c:pt>
                <c:pt idx="400">
                  <c:v>-211.91813589233365</c:v>
                </c:pt>
                <c:pt idx="401">
                  <c:v>-212.12462914710653</c:v>
                </c:pt>
                <c:pt idx="402">
                  <c:v>-212.33013438055357</c:v>
                </c:pt>
                <c:pt idx="403">
                  <c:v>-212.5346594481808</c:v>
                </c:pt>
                <c:pt idx="404">
                  <c:v>-212.73821209764264</c:v>
                </c:pt>
                <c:pt idx="405">
                  <c:v>-212.94079997122103</c:v>
                </c:pt>
                <c:pt idx="406">
                  <c:v>-213.14243060823063</c:v>
                </c:pt>
                <c:pt idx="407">
                  <c:v>-213.3431114473521</c:v>
                </c:pt>
                <c:pt idx="408">
                  <c:v>-213.54284982889618</c:v>
                </c:pt>
                <c:pt idx="409">
                  <c:v>-213.74165299700101</c:v>
                </c:pt>
                <c:pt idx="410">
                  <c:v>-213.93952810176432</c:v>
                </c:pt>
                <c:pt idx="411">
                  <c:v>-214.13648220131341</c:v>
                </c:pt>
                <c:pt idx="412">
                  <c:v>-214.33252226381433</c:v>
                </c:pt>
                <c:pt idx="413">
                  <c:v>-214.52765516942253</c:v>
                </c:pt>
                <c:pt idx="414">
                  <c:v>-214.72188771217685</c:v>
                </c:pt>
                <c:pt idx="415">
                  <c:v>-214.9152266018389</c:v>
                </c:pt>
                <c:pt idx="416">
                  <c:v>-215.1076784656791</c:v>
                </c:pt>
                <c:pt idx="417">
                  <c:v>-215.29924985021171</c:v>
                </c:pt>
                <c:pt idx="418">
                  <c:v>-215.48994722288023</c:v>
                </c:pt>
                <c:pt idx="419">
                  <c:v>-215.67977697369443</c:v>
                </c:pt>
                <c:pt idx="420">
                  <c:v>-215.86874541682144</c:v>
                </c:pt>
                <c:pt idx="421">
                  <c:v>-216.05685879213149</c:v>
                </c:pt>
                <c:pt idx="422">
                  <c:v>-216.24412326670043</c:v>
                </c:pt>
                <c:pt idx="423">
                  <c:v>-216.43054493626965</c:v>
                </c:pt>
                <c:pt idx="424">
                  <c:v>-216.61612982666571</c:v>
                </c:pt>
                <c:pt idx="425">
                  <c:v>-216.80088389518028</c:v>
                </c:pt>
                <c:pt idx="426">
                  <c:v>-216.98481303191198</c:v>
                </c:pt>
                <c:pt idx="427">
                  <c:v>-217.16792306107089</c:v>
                </c:pt>
                <c:pt idx="428">
                  <c:v>-217.35021974224767</c:v>
                </c:pt>
                <c:pt idx="429">
                  <c:v>-217.53170877164757</c:v>
                </c:pt>
                <c:pt idx="430">
                  <c:v>-217.7123957832913</c:v>
                </c:pt>
                <c:pt idx="431">
                  <c:v>-217.89228635018287</c:v>
                </c:pt>
                <c:pt idx="432">
                  <c:v>-218.07138598544614</c:v>
                </c:pt>
                <c:pt idx="433">
                  <c:v>-218.24970014343097</c:v>
                </c:pt>
                <c:pt idx="434">
                  <c:v>-218.42723422078944</c:v>
                </c:pt>
                <c:pt idx="435">
                  <c:v>-218.60399355752381</c:v>
                </c:pt>
                <c:pt idx="436">
                  <c:v>-218.7799834380063</c:v>
                </c:pt>
                <c:pt idx="437">
                  <c:v>-218.95520909197239</c:v>
                </c:pt>
                <c:pt idx="438">
                  <c:v>-219.12967569548766</c:v>
                </c:pt>
                <c:pt idx="439">
                  <c:v>-219.3033883718897</c:v>
                </c:pt>
                <c:pt idx="440">
                  <c:v>-219.47635219270506</c:v>
                </c:pt>
                <c:pt idx="441">
                  <c:v>-219.64857217854325</c:v>
                </c:pt>
                <c:pt idx="442">
                  <c:v>-219.82005329996684</c:v>
                </c:pt>
                <c:pt idx="443">
                  <c:v>-219.99080047833991</c:v>
                </c:pt>
                <c:pt idx="444">
                  <c:v>-220.1608185866545</c:v>
                </c:pt>
                <c:pt idx="445">
                  <c:v>-220.33011245033649</c:v>
                </c:pt>
                <c:pt idx="446">
                  <c:v>-220.49868684803045</c:v>
                </c:pt>
                <c:pt idx="447">
                  <c:v>-220.66654651236581</c:v>
                </c:pt>
                <c:pt idx="448">
                  <c:v>-220.83369613070289</c:v>
                </c:pt>
                <c:pt idx="449">
                  <c:v>-221.00014034586104</c:v>
                </c:pt>
                <c:pt idx="450">
                  <c:v>-221.16588375682861</c:v>
                </c:pt>
                <c:pt idx="451">
                  <c:v>-221.3309309194554</c:v>
                </c:pt>
                <c:pt idx="452">
                  <c:v>-221.4952863471284</c:v>
                </c:pt>
                <c:pt idx="453">
                  <c:v>-221.65895451143081</c:v>
                </c:pt>
                <c:pt idx="454">
                  <c:v>-221.82193984278547</c:v>
                </c:pt>
                <c:pt idx="455">
                  <c:v>-221.98424673108258</c:v>
                </c:pt>
                <c:pt idx="456">
                  <c:v>-222.14587952629265</c:v>
                </c:pt>
                <c:pt idx="457">
                  <c:v>-222.30684253906458</c:v>
                </c:pt>
                <c:pt idx="458">
                  <c:v>-222.46714004131005</c:v>
                </c:pt>
                <c:pt idx="459">
                  <c:v>-222.62677626677385</c:v>
                </c:pt>
                <c:pt idx="460">
                  <c:v>-222.785755411591</c:v>
                </c:pt>
                <c:pt idx="461">
                  <c:v>-222.94408163483109</c:v>
                </c:pt>
                <c:pt idx="462">
                  <c:v>-223.10175905902994</c:v>
                </c:pt>
                <c:pt idx="463">
                  <c:v>-223.25879177070908</c:v>
                </c:pt>
                <c:pt idx="464">
                  <c:v>-223.41518382088356</c:v>
                </c:pt>
                <c:pt idx="465">
                  <c:v>-223.57093922555805</c:v>
                </c:pt>
                <c:pt idx="466">
                  <c:v>-223.72606196621194</c:v>
                </c:pt>
                <c:pt idx="467">
                  <c:v>-223.88055599027379</c:v>
                </c:pt>
                <c:pt idx="468">
                  <c:v>-224.03442521158485</c:v>
                </c:pt>
                <c:pt idx="469">
                  <c:v>-224.18767351085256</c:v>
                </c:pt>
                <c:pt idx="470">
                  <c:v>-224.3403047360944</c:v>
                </c:pt>
                <c:pt idx="471">
                  <c:v>-224.49232270307158</c:v>
                </c:pt>
                <c:pt idx="472">
                  <c:v>-224.64373119571377</c:v>
                </c:pt>
                <c:pt idx="473">
                  <c:v>-224.7945339665346</c:v>
                </c:pt>
                <c:pt idx="474">
                  <c:v>-224.9447347370382</c:v>
                </c:pt>
                <c:pt idx="475">
                  <c:v>-225.09433719811727</c:v>
                </c:pt>
                <c:pt idx="476">
                  <c:v>-225.24334501044282</c:v>
                </c:pt>
                <c:pt idx="477">
                  <c:v>-225.39176180484566</c:v>
                </c:pt>
                <c:pt idx="478">
                  <c:v>-225.53959118269006</c:v>
                </c:pt>
                <c:pt idx="479">
                  <c:v>-225.68683671623975</c:v>
                </c:pt>
                <c:pt idx="480">
                  <c:v>-225.83350194901635</c:v>
                </c:pt>
                <c:pt idx="481">
                  <c:v>-225.97959039615077</c:v>
                </c:pt>
                <c:pt idx="482">
                  <c:v>-226.12510554472715</c:v>
                </c:pt>
                <c:pt idx="483">
                  <c:v>-226.27005085412037</c:v>
                </c:pt>
                <c:pt idx="484">
                  <c:v>-226.41442975632651</c:v>
                </c:pt>
                <c:pt idx="485">
                  <c:v>-226.55824565628714</c:v>
                </c:pt>
                <c:pt idx="486">
                  <c:v>-226.70150193220707</c:v>
                </c:pt>
                <c:pt idx="487">
                  <c:v>-226.84420193586575</c:v>
                </c:pt>
                <c:pt idx="488">
                  <c:v>-226.98634899292327</c:v>
                </c:pt>
                <c:pt idx="489">
                  <c:v>-227.12794640321991</c:v>
                </c:pt>
                <c:pt idx="490">
                  <c:v>-227.26899744107047</c:v>
                </c:pt>
                <c:pt idx="491">
                  <c:v>-227.40950535555265</c:v>
                </c:pt>
                <c:pt idx="492">
                  <c:v>-227.54947337079059</c:v>
                </c:pt>
                <c:pt idx="493">
                  <c:v>-227.68890468623258</c:v>
                </c:pt>
                <c:pt idx="494">
                  <c:v>-227.82780247692418</c:v>
                </c:pt>
                <c:pt idx="495">
                  <c:v>-227.96616989377597</c:v>
                </c:pt>
                <c:pt idx="496">
                  <c:v>-228.10401006382676</c:v>
                </c:pt>
                <c:pt idx="497">
                  <c:v>-228.24132609050207</c:v>
                </c:pt>
                <c:pt idx="498">
                  <c:v>-228.3781210538676</c:v>
                </c:pt>
                <c:pt idx="499">
                  <c:v>-228.51439801087892</c:v>
                </c:pt>
                <c:pt idx="500">
                  <c:v>-228.65015999562618</c:v>
                </c:pt>
                <c:pt idx="501">
                  <c:v>-228.78541001957487</c:v>
                </c:pt>
                <c:pt idx="502">
                  <c:v>-228.92015107180259</c:v>
                </c:pt>
                <c:pt idx="503">
                  <c:v>-229.05438611923137</c:v>
                </c:pt>
                <c:pt idx="504">
                  <c:v>-229.18811810685625</c:v>
                </c:pt>
                <c:pt idx="505">
                  <c:v>-229.3213499579702</c:v>
                </c:pt>
                <c:pt idx="506">
                  <c:v>-229.45408457438521</c:v>
                </c:pt>
                <c:pt idx="507">
                  <c:v>-229.58632483664945</c:v>
                </c:pt>
                <c:pt idx="508">
                  <c:v>-229.71807360426118</c:v>
                </c:pt>
                <c:pt idx="509">
                  <c:v>-229.8493337158792</c:v>
                </c:pt>
                <c:pt idx="510">
                  <c:v>-229.98010798952976</c:v>
                </c:pt>
                <c:pt idx="511">
                  <c:v>-230.11039922281014</c:v>
                </c:pt>
                <c:pt idx="512">
                  <c:v>-230.24021019308927</c:v>
                </c:pt>
                <c:pt idx="513">
                  <c:v>-230.36954365770481</c:v>
                </c:pt>
                <c:pt idx="514">
                  <c:v>-230.49840235415755</c:v>
                </c:pt>
                <c:pt idx="515">
                  <c:v>-230.62678900030258</c:v>
                </c:pt>
                <c:pt idx="516">
                  <c:v>-230.75470629453758</c:v>
                </c:pt>
                <c:pt idx="517">
                  <c:v>-230.88215691598816</c:v>
                </c:pt>
                <c:pt idx="518">
                  <c:v>-231.00914352469078</c:v>
                </c:pt>
                <c:pt idx="519">
                  <c:v>-231.13566876177239</c:v>
                </c:pt>
                <c:pt idx="520">
                  <c:v>-231.26173524962772</c:v>
                </c:pt>
                <c:pt idx="521">
                  <c:v>-231.38734559209416</c:v>
                </c:pt>
                <c:pt idx="522">
                  <c:v>-231.51250237462372</c:v>
                </c:pt>
                <c:pt idx="523">
                  <c:v>-231.63720816445243</c:v>
                </c:pt>
                <c:pt idx="524">
                  <c:v>-231.76146551076801</c:v>
                </c:pt>
                <c:pt idx="525">
                  <c:v>-231.88527694487433</c:v>
                </c:pt>
                <c:pt idx="526">
                  <c:v>-232.00864498035398</c:v>
                </c:pt>
                <c:pt idx="527">
                  <c:v>-232.13157211322863</c:v>
                </c:pt>
                <c:pt idx="528">
                  <c:v>-232.25406082211694</c:v>
                </c:pt>
                <c:pt idx="529">
                  <c:v>-232.37611356839028</c:v>
                </c:pt>
                <c:pt idx="530">
                  <c:v>-232.49773279632683</c:v>
                </c:pt>
                <c:pt idx="531">
                  <c:v>-232.61892093326261</c:v>
                </c:pt>
                <c:pt idx="532">
                  <c:v>-232.73968038974175</c:v>
                </c:pt>
                <c:pt idx="533">
                  <c:v>-232.86001355966357</c:v>
                </c:pt>
                <c:pt idx="534">
                  <c:v>-232.97992282042853</c:v>
                </c:pt>
                <c:pt idx="535">
                  <c:v>-233.09941053308191</c:v>
                </c:pt>
                <c:pt idx="536">
                  <c:v>-233.2184790424557</c:v>
                </c:pt>
                <c:pt idx="537">
                  <c:v>-233.33713067730864</c:v>
                </c:pt>
                <c:pt idx="538">
                  <c:v>-233.45536775046449</c:v>
                </c:pt>
                <c:pt idx="539">
                  <c:v>-233.57319255894862</c:v>
                </c:pt>
                <c:pt idx="540">
                  <c:v>-233.6906073841227</c:v>
                </c:pt>
                <c:pt idx="541">
                  <c:v>-233.80761449181793</c:v>
                </c:pt>
                <c:pt idx="542">
                  <c:v>-233.92421613246637</c:v>
                </c:pt>
                <c:pt idx="543">
                  <c:v>-234.04041454123094</c:v>
                </c:pt>
                <c:pt idx="544">
                  <c:v>-234.15621193813354</c:v>
                </c:pt>
                <c:pt idx="545">
                  <c:v>-234.2716105281819</c:v>
                </c:pt>
                <c:pt idx="546">
                  <c:v>-234.38661250149457</c:v>
                </c:pt>
                <c:pt idx="547">
                  <c:v>-234.50122003342491</c:v>
                </c:pt>
                <c:pt idx="548">
                  <c:v>-234.61543528468306</c:v>
                </c:pt>
                <c:pt idx="549">
                  <c:v>-234.72926040145677</c:v>
                </c:pt>
                <c:pt idx="550">
                  <c:v>-234.84269751553089</c:v>
                </c:pt>
                <c:pt idx="551">
                  <c:v>-234.95574874440535</c:v>
                </c:pt>
                <c:pt idx="552">
                  <c:v>-235.06841619141167</c:v>
                </c:pt>
                <c:pt idx="553">
                  <c:v>-235.18070194582845</c:v>
                </c:pt>
                <c:pt idx="554">
                  <c:v>-235.29260808299514</c:v>
                </c:pt>
                <c:pt idx="555">
                  <c:v>-235.40413666442504</c:v>
                </c:pt>
                <c:pt idx="556">
                  <c:v>-235.51528973791656</c:v>
                </c:pt>
                <c:pt idx="557">
                  <c:v>-235.62606933766347</c:v>
                </c:pt>
                <c:pt idx="558">
                  <c:v>-235.73647748436389</c:v>
                </c:pt>
                <c:pt idx="559">
                  <c:v>-235.84651618532817</c:v>
                </c:pt>
                <c:pt idx="560">
                  <c:v>-235.95618743458547</c:v>
                </c:pt>
                <c:pt idx="561">
                  <c:v>-236.06549321298917</c:v>
                </c:pt>
                <c:pt idx="562">
                  <c:v>-236.17443548832142</c:v>
                </c:pt>
                <c:pt idx="563">
                  <c:v>-236.28301621539615</c:v>
                </c:pt>
                <c:pt idx="564">
                  <c:v>-236.39123733616123</c:v>
                </c:pt>
                <c:pt idx="565">
                  <c:v>-236.49910077979973</c:v>
                </c:pt>
                <c:pt idx="566">
                  <c:v>-236.60660846282971</c:v>
                </c:pt>
                <c:pt idx="567">
                  <c:v>-236.71376228920326</c:v>
                </c:pt>
                <c:pt idx="568">
                  <c:v>-236.82056415040432</c:v>
                </c:pt>
                <c:pt idx="569">
                  <c:v>-236.92701592554596</c:v>
                </c:pt>
                <c:pt idx="570">
                  <c:v>-237.03311948146586</c:v>
                </c:pt>
                <c:pt idx="571">
                  <c:v>-237.13887667282145</c:v>
                </c:pt>
                <c:pt idx="572">
                  <c:v>-237.24428934218412</c:v>
                </c:pt>
                <c:pt idx="573">
                  <c:v>-237.34935932013198</c:v>
                </c:pt>
                <c:pt idx="574">
                  <c:v>-237.45408842534204</c:v>
                </c:pt>
                <c:pt idx="575">
                  <c:v>-237.55847846468166</c:v>
                </c:pt>
                <c:pt idx="576">
                  <c:v>-237.66253123329847</c:v>
                </c:pt>
                <c:pt idx="577">
                  <c:v>-237.76624851471018</c:v>
                </c:pt>
                <c:pt idx="578">
                  <c:v>-237.86963208089287</c:v>
                </c:pt>
                <c:pt idx="579">
                  <c:v>-237.97268369236872</c:v>
                </c:pt>
                <c:pt idx="580">
                  <c:v>-238.07540509829295</c:v>
                </c:pt>
                <c:pt idx="581">
                  <c:v>-238.17779803653977</c:v>
                </c:pt>
                <c:pt idx="582">
                  <c:v>-238.27986423378746</c:v>
                </c:pt>
                <c:pt idx="583">
                  <c:v>-238.38160540560295</c:v>
                </c:pt>
                <c:pt idx="584">
                  <c:v>-238.48302325652517</c:v>
                </c:pt>
                <c:pt idx="585">
                  <c:v>-238.58411948014796</c:v>
                </c:pt>
                <c:pt idx="586">
                  <c:v>-238.68489575920199</c:v>
                </c:pt>
                <c:pt idx="587">
                  <c:v>-238.78535376563616</c:v>
                </c:pt>
                <c:pt idx="588">
                  <c:v>-238.88549516069781</c:v>
                </c:pt>
                <c:pt idx="589">
                  <c:v>-238.98532159501275</c:v>
                </c:pt>
                <c:pt idx="590">
                  <c:v>-239.08483470866412</c:v>
                </c:pt>
                <c:pt idx="591">
                  <c:v>-239.18403613127052</c:v>
                </c:pt>
                <c:pt idx="592">
                  <c:v>-239.28292748206394</c:v>
                </c:pt>
                <c:pt idx="593">
                  <c:v>-239.38151036996621</c:v>
                </c:pt>
                <c:pt idx="594">
                  <c:v>-239.47978639366545</c:v>
                </c:pt>
                <c:pt idx="595">
                  <c:v>-239.57775714169148</c:v>
                </c:pt>
                <c:pt idx="596">
                  <c:v>-239.67542419249048</c:v>
                </c:pt>
                <c:pt idx="597">
                  <c:v>-239.77278911449923</c:v>
                </c:pt>
                <c:pt idx="598">
                  <c:v>-239.86985346621867</c:v>
                </c:pt>
                <c:pt idx="599">
                  <c:v>-239.96661879628653</c:v>
                </c:pt>
                <c:pt idx="600">
                  <c:v>-240.06308664354952</c:v>
                </c:pt>
                <c:pt idx="601">
                  <c:v>-240.15925853713509</c:v>
                </c:pt>
                <c:pt idx="602">
                  <c:v>-240.25513599652203</c:v>
                </c:pt>
                <c:pt idx="603">
                  <c:v>-240.35072053161093</c:v>
                </c:pt>
                <c:pt idx="604">
                  <c:v>-240.44601364279387</c:v>
                </c:pt>
                <c:pt idx="605">
                  <c:v>-240.54101682102345</c:v>
                </c:pt>
                <c:pt idx="606">
                  <c:v>-244.95189958691157</c:v>
                </c:pt>
                <c:pt idx="607">
                  <c:v>-248.7969596782778</c:v>
                </c:pt>
                <c:pt idx="608">
                  <c:v>-252.19460495109158</c:v>
                </c:pt>
                <c:pt idx="609">
                  <c:v>-255.2335296496189</c:v>
                </c:pt>
                <c:pt idx="610">
                  <c:v>-257.98102127569962</c:v>
                </c:pt>
                <c:pt idx="611">
                  <c:v>-260.48876277934369</c:v>
                </c:pt>
                <c:pt idx="612">
                  <c:v>-262.79692754490509</c:v>
                </c:pt>
                <c:pt idx="613">
                  <c:v>-264.9370994032339</c:v>
                </c:pt>
                <c:pt idx="614">
                  <c:v>-266.93437731466531</c:v>
                </c:pt>
                <c:pt idx="615">
                  <c:v>-268.80890927513281</c:v>
                </c:pt>
                <c:pt idx="616">
                  <c:v>-270.57702276481746</c:v>
                </c:pt>
                <c:pt idx="617">
                  <c:v>-272.25206706708343</c:v>
                </c:pt>
                <c:pt idx="618">
                  <c:v>-272.95129313242137</c:v>
                </c:pt>
                <c:pt idx="619">
                  <c:v>-273.63611416863932</c:v>
                </c:pt>
                <c:pt idx="620">
                  <c:v>-274.30723268271254</c:v>
                </c:pt>
                <c:pt idx="621">
                  <c:v>-274.96530041234649</c:v>
                </c:pt>
                <c:pt idx="622">
                  <c:v>-275.61092277408062</c:v>
                </c:pt>
                <c:pt idx="623">
                  <c:v>-276.24466285865975</c:v>
                </c:pt>
                <c:pt idx="624">
                  <c:v>-276.86704502617295</c:v>
                </c:pt>
                <c:pt idx="625">
                  <c:v>-277.47855814664786</c:v>
                </c:pt>
                <c:pt idx="626">
                  <c:v>-278.07965852594953</c:v>
                </c:pt>
                <c:pt idx="627">
                  <c:v>-278.670772551818</c:v>
                </c:pt>
                <c:pt idx="628">
                  <c:v>-279.25229909055906</c:v>
                </c:pt>
                <c:pt idx="629">
                  <c:v>-279.8246116611723</c:v>
                </c:pt>
                <c:pt idx="630">
                  <c:v>-280.38806041047781</c:v>
                </c:pt>
                <c:pt idx="631">
                  <c:v>-280.94297391000282</c:v>
                </c:pt>
                <c:pt idx="632">
                  <c:v>-281.48966079296196</c:v>
                </c:pt>
                <c:pt idx="633">
                  <c:v>-282.02841124754571</c:v>
                </c:pt>
                <c:pt idx="634">
                  <c:v>-282.55949838089003</c:v>
                </c:pt>
                <c:pt idx="635">
                  <c:v>-283.08317946648179</c:v>
                </c:pt>
                <c:pt idx="636">
                  <c:v>-283.59969708634435</c:v>
                </c:pt>
                <c:pt idx="637">
                  <c:v>-284.10928017810664</c:v>
                </c:pt>
                <c:pt idx="638">
                  <c:v>-284.6121449959694</c:v>
                </c:pt>
                <c:pt idx="639">
                  <c:v>-285.10849599362098</c:v>
                </c:pt>
                <c:pt idx="640">
                  <c:v>-285.59852663631136</c:v>
                </c:pt>
                <c:pt idx="641">
                  <c:v>-286.08242014854181</c:v>
                </c:pt>
                <c:pt idx="642">
                  <c:v>-286.56035020316796</c:v>
                </c:pt>
                <c:pt idx="643">
                  <c:v>-287.03248155712612</c:v>
                </c:pt>
                <c:pt idx="644">
                  <c:v>-287.49897063847209</c:v>
                </c:pt>
                <c:pt idx="645">
                  <c:v>-287.95996608895922</c:v>
                </c:pt>
                <c:pt idx="646">
                  <c:v>-288.4156092659681</c:v>
                </c:pt>
                <c:pt idx="647">
                  <c:v>-288.86603470723577</c:v>
                </c:pt>
                <c:pt idx="648">
                  <c:v>-289.31137056150044</c:v>
                </c:pt>
                <c:pt idx="649">
                  <c:v>-289.75173898788694</c:v>
                </c:pt>
                <c:pt idx="650">
                  <c:v>-290.18725652659356</c:v>
                </c:pt>
                <c:pt idx="651">
                  <c:v>-290.61803444320611</c:v>
                </c:pt>
                <c:pt idx="652">
                  <c:v>-291.04417904875271</c:v>
                </c:pt>
                <c:pt idx="653">
                  <c:v>-291.46579199742354</c:v>
                </c:pt>
                <c:pt idx="654">
                  <c:v>-291.88297056370766</c:v>
                </c:pt>
                <c:pt idx="655">
                  <c:v>-292.29580790054524</c:v>
                </c:pt>
                <c:pt idx="656">
                  <c:v>-292.70439327995507</c:v>
                </c:pt>
                <c:pt idx="657">
                  <c:v>-293.10881231746976</c:v>
                </c:pt>
                <c:pt idx="658">
                  <c:v>-293.5091471815993</c:v>
                </c:pt>
                <c:pt idx="659">
                  <c:v>-293.90547678944017</c:v>
                </c:pt>
                <c:pt idx="660">
                  <c:v>-294.29787698945302</c:v>
                </c:pt>
                <c:pt idx="661">
                  <c:v>-294.68642073234889</c:v>
                </c:pt>
                <c:pt idx="662">
                  <c:v>-295.07117823094649</c:v>
                </c:pt>
                <c:pt idx="663">
                  <c:v>-295.45221710979263</c:v>
                </c:pt>
                <c:pt idx="664">
                  <c:v>-295.82960254527597</c:v>
                </c:pt>
                <c:pt idx="665">
                  <c:v>-296.20339739690411</c:v>
                </c:pt>
                <c:pt idx="666">
                  <c:v>-296.57366233036396</c:v>
                </c:pt>
                <c:pt idx="667">
                  <c:v>-296.94045593293481</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Calculations'!$AR$9:$AR$209</c:f>
              <c:numCache>
                <c:formatCode>0.0</c:formatCode>
                <c:ptCount val="201"/>
                <c:pt idx="0">
                  <c:v>2.3170458435891153</c:v>
                </c:pt>
                <c:pt idx="1">
                  <c:v>2.3152018203764282</c:v>
                </c:pt>
                <c:pt idx="2">
                  <c:v>2.3157666162111767</c:v>
                </c:pt>
                <c:pt idx="3">
                  <c:v>2.3187419476706674</c:v>
                </c:pt>
                <c:pt idx="4">
                  <c:v>2.3241296696955462</c:v>
                </c:pt>
                <c:pt idx="5">
                  <c:v>2.3319317759362437</c:v>
                </c:pt>
                <c:pt idx="6">
                  <c:v>2.3421503991196047</c:v>
                </c:pt>
                <c:pt idx="7">
                  <c:v>2.3547878114358434</c:v>
                </c:pt>
                <c:pt idx="8">
                  <c:v>2.3698464249459041</c:v>
                </c:pt>
                <c:pt idx="9">
                  <c:v>2.3873287920093729</c:v>
                </c:pt>
                <c:pt idx="10">
                  <c:v>2.4072376057330507</c:v>
                </c:pt>
                <c:pt idx="11">
                  <c:v>2.4295757004403336</c:v>
                </c:pt>
                <c:pt idx="12">
                  <c:v>2.4543460521615308</c:v>
                </c:pt>
                <c:pt idx="13">
                  <c:v>2.4815517791452479</c:v>
                </c:pt>
                <c:pt idx="14">
                  <c:v>2.5111961423910296</c:v>
                </c:pt>
                <c:pt idx="15">
                  <c:v>2.5432825462033617</c:v>
                </c:pt>
                <c:pt idx="16">
                  <c:v>2.5778145387672349</c:v>
                </c:pt>
                <c:pt idx="17">
                  <c:v>2.6147958127454287</c:v>
                </c:pt>
                <c:pt idx="18">
                  <c:v>2.6542302058976701</c:v>
                </c:pt>
                <c:pt idx="19">
                  <c:v>2.696121701721883</c:v>
                </c:pt>
                <c:pt idx="20">
                  <c:v>2.7404744301176729</c:v>
                </c:pt>
                <c:pt idx="21">
                  <c:v>2.7872926680722889</c:v>
                </c:pt>
                <c:pt idx="22">
                  <c:v>2.8365808403692094</c:v>
                </c:pt>
                <c:pt idx="23">
                  <c:v>2.8883435203196082</c:v>
                </c:pt>
                <c:pt idx="24">
                  <c:v>2.9425854305168824</c:v>
                </c:pt>
                <c:pt idx="25">
                  <c:v>2.9993114436144666</c:v>
                </c:pt>
                <c:pt idx="26">
                  <c:v>3.058526583127176</c:v>
                </c:pt>
                <c:pt idx="27">
                  <c:v>3.1202360242563012</c:v>
                </c:pt>
                <c:pt idx="28">
                  <c:v>3.1844450947386882</c:v>
                </c:pt>
                <c:pt idx="29">
                  <c:v>3.2511592757200813</c:v>
                </c:pt>
                <c:pt idx="30">
                  <c:v>3.8609819653016331</c:v>
                </c:pt>
                <c:pt idx="31">
                  <c:v>4.8463807286058467</c:v>
                </c:pt>
                <c:pt idx="32">
                  <c:v>5.834866956567673</c:v>
                </c:pt>
                <c:pt idx="33">
                  <c:v>6.793428463478997</c:v>
                </c:pt>
                <c:pt idx="34">
                  <c:v>6.9269129360865502</c:v>
                </c:pt>
                <c:pt idx="35">
                  <c:v>7.063006968365845</c:v>
                </c:pt>
                <c:pt idx="36">
                  <c:v>7.2017188292125391</c:v>
                </c:pt>
                <c:pt idx="37">
                  <c:v>7.3430569566268575</c:v>
                </c:pt>
                <c:pt idx="38">
                  <c:v>7.4870299590022489</c:v>
                </c:pt>
                <c:pt idx="39">
                  <c:v>7.6336466164430377</c:v>
                </c:pt>
                <c:pt idx="40">
                  <c:v>7.7829158821113369</c:v>
                </c:pt>
                <c:pt idx="41">
                  <c:v>7.9348468836037451</c:v>
                </c:pt>
                <c:pt idx="42">
                  <c:v>8.0894489243581269</c:v>
                </c:pt>
                <c:pt idx="43">
                  <c:v>8.2467314850909403</c:v>
                </c:pt>
                <c:pt idx="44">
                  <c:v>8.4067042252655462</c:v>
                </c:pt>
                <c:pt idx="45">
                  <c:v>8.5693769845918499</c:v>
                </c:pt>
                <c:pt idx="46">
                  <c:v>8.7347597845578395</c:v>
                </c:pt>
                <c:pt idx="47">
                  <c:v>8.9028628299933885</c:v>
                </c:pt>
                <c:pt idx="48">
                  <c:v>9.0736965106668048</c:v>
                </c:pt>
                <c:pt idx="49">
                  <c:v>9.247271402914615</c:v>
                </c:pt>
                <c:pt idx="50">
                  <c:v>9.423598271305087</c:v>
                </c:pt>
                <c:pt idx="51">
                  <c:v>9.6026880703359456</c:v>
                </c:pt>
                <c:pt idx="52">
                  <c:v>9.7845519461668484</c:v>
                </c:pt>
                <c:pt idx="53">
                  <c:v>9.9692012383870878</c:v>
                </c:pt>
                <c:pt idx="54">
                  <c:v>10.156647481819112</c:v>
                </c:pt>
                <c:pt idx="55">
                  <c:v>10.346902408358384</c:v>
                </c:pt>
                <c:pt idx="56">
                  <c:v>10.539977948850154</c:v>
                </c:pt>
                <c:pt idx="57">
                  <c:v>10.735886235003685</c:v>
                </c:pt>
                <c:pt idx="58">
                  <c:v>10.934639601344607</c:v>
                </c:pt>
                <c:pt idx="59">
                  <c:v>11.136250587205886</c:v>
                </c:pt>
                <c:pt idx="60">
                  <c:v>11.340731938758147</c:v>
                </c:pt>
                <c:pt idx="61">
                  <c:v>11.548096611079893</c:v>
                </c:pt>
                <c:pt idx="62">
                  <c:v>11.758357770268315</c:v>
                </c:pt>
                <c:pt idx="63">
                  <c:v>11.971528795591325</c:v>
                </c:pt>
                <c:pt idx="64">
                  <c:v>12.187623281681542</c:v>
                </c:pt>
                <c:pt idx="65">
                  <c:v>12.406655040772861</c:v>
                </c:pt>
                <c:pt idx="66">
                  <c:v>12.628638104980377</c:v>
                </c:pt>
                <c:pt idx="67">
                  <c:v>12.853586728624316</c:v>
                </c:pt>
                <c:pt idx="68">
                  <c:v>13.081515390598836</c:v>
                </c:pt>
                <c:pt idx="69">
                  <c:v>13.312438796786322</c:v>
                </c:pt>
                <c:pt idx="70">
                  <c:v>13.546371882518068</c:v>
                </c:pt>
                <c:pt idx="71">
                  <c:v>13.783329815082071</c:v>
                </c:pt>
                <c:pt idx="72">
                  <c:v>14.023327996278798</c:v>
                </c:pt>
                <c:pt idx="73">
                  <c:v>14.266382065025754</c:v>
                </c:pt>
                <c:pt idx="74">
                  <c:v>14.512507900011693</c:v>
                </c:pt>
                <c:pt idx="75">
                  <c:v>14.76172162240133</c:v>
                </c:pt>
                <c:pt idx="76">
                  <c:v>15.014039598591555</c:v>
                </c:pt>
                <c:pt idx="77">
                  <c:v>15.26947844301989</c:v>
                </c:pt>
                <c:pt idx="78">
                  <c:v>15.528055021026308</c:v>
                </c:pt>
                <c:pt idx="79">
                  <c:v>15.789786451769258</c:v>
                </c:pt>
                <c:pt idx="80">
                  <c:v>16.054690111196933</c:v>
                </c:pt>
                <c:pt idx="81">
                  <c:v>16.322783635074785</c:v>
                </c:pt>
                <c:pt idx="82">
                  <c:v>16.594084922070234</c:v>
                </c:pt>
                <c:pt idx="83">
                  <c:v>16.868612136895862</c:v>
                </c:pt>
                <c:pt idx="84">
                  <c:v>17.146383713511838</c:v>
                </c:pt>
                <c:pt idx="85">
                  <c:v>17.427418358388937</c:v>
                </c:pt>
                <c:pt idx="86">
                  <c:v>17.711735053833248</c:v>
                </c:pt>
                <c:pt idx="87">
                  <c:v>17.999353061373583</c:v>
                </c:pt>
                <c:pt idx="88">
                  <c:v>18.290291925212955</c:v>
                </c:pt>
                <c:pt idx="89">
                  <c:v>18.584571475745236</c:v>
                </c:pt>
                <c:pt idx="90">
                  <c:v>18.882211833138285</c:v>
                </c:pt>
                <c:pt idx="91">
                  <c:v>19.183233410984773</c:v>
                </c:pt>
                <c:pt idx="92">
                  <c:v>19.48765692002209</c:v>
                </c:pt>
                <c:pt idx="93">
                  <c:v>19.795503371922521</c:v>
                </c:pt>
                <c:pt idx="94">
                  <c:v>20.106794083155293</c:v>
                </c:pt>
                <c:pt idx="95">
                  <c:v>20.421550678921665</c:v>
                </c:pt>
                <c:pt idx="96">
                  <c:v>20.739795097164588</c:v>
                </c:pt>
                <c:pt idx="97">
                  <c:v>21.061549592654476</c:v>
                </c:pt>
                <c:pt idx="98">
                  <c:v>21.386836741152454</c:v>
                </c:pt>
                <c:pt idx="99">
                  <c:v>21.715679443652729</c:v>
                </c:pt>
                <c:pt idx="100">
                  <c:v>22.048100930705623</c:v>
                </c:pt>
                <c:pt idx="101">
                  <c:v>22.384124766822893</c:v>
                </c:pt>
                <c:pt idx="102">
                  <c:v>22.723774854966937</c:v>
                </c:pt>
                <c:pt idx="103">
                  <c:v>23.067075441125795</c:v>
                </c:pt>
                <c:pt idx="104">
                  <c:v>23.414051118975284</c:v>
                </c:pt>
                <c:pt idx="105">
                  <c:v>23.764726834630558</c:v>
                </c:pt>
                <c:pt idx="106">
                  <c:v>24.119127891488436</c:v>
                </c:pt>
                <c:pt idx="107">
                  <c:v>24.477279955162736</c:v>
                </c:pt>
                <c:pt idx="108">
                  <c:v>24.83920905851426</c:v>
                </c:pt>
                <c:pt idx="109">
                  <c:v>25.204941606777648</c:v>
                </c:pt>
                <c:pt idx="110">
                  <c:v>25.574504382786827</c:v>
                </c:pt>
                <c:pt idx="111">
                  <c:v>25.947924552301455</c:v>
                </c:pt>
                <c:pt idx="112">
                  <c:v>26.325229669436069</c:v>
                </c:pt>
                <c:pt idx="113">
                  <c:v>26.706447682194543</c:v>
                </c:pt>
                <c:pt idx="114">
                  <c:v>27.091606938111806</c:v>
                </c:pt>
                <c:pt idx="115">
                  <c:v>27.480736190005008</c:v>
                </c:pt>
                <c:pt idx="116">
                  <c:v>27.873864601836786</c:v>
                </c:pt>
                <c:pt idx="117">
                  <c:v>28.271021754692853</c:v>
                </c:pt>
                <c:pt idx="118">
                  <c:v>28.67223765287623</c:v>
                </c:pt>
                <c:pt idx="119">
                  <c:v>29.077542730120904</c:v>
                </c:pt>
                <c:pt idx="120">
                  <c:v>29.486967855927343</c:v>
                </c:pt>
                <c:pt idx="121">
                  <c:v>29.900544342022457</c:v>
                </c:pt>
                <c:pt idx="122">
                  <c:v>30.318303948946884</c:v>
                </c:pt>
                <c:pt idx="123">
                  <c:v>30.740278892772366</c:v>
                </c:pt>
                <c:pt idx="124">
                  <c:v>31.166501851951793</c:v>
                </c:pt>
                <c:pt idx="125">
                  <c:v>31.597005974305283</c:v>
                </c:pt>
                <c:pt idx="126">
                  <c:v>32.031824884144996</c:v>
                </c:pt>
                <c:pt idx="127">
                  <c:v>32.470992689541859</c:v>
                </c:pt>
                <c:pt idx="128">
                  <c:v>32.914543989737325</c:v>
                </c:pt>
                <c:pt idx="129">
                  <c:v>33.362513882703539</c:v>
                </c:pt>
                <c:pt idx="130">
                  <c:v>33.814937972855176</c:v>
                </c:pt>
                <c:pt idx="131">
                  <c:v>34.271852378916194</c:v>
                </c:pt>
                <c:pt idx="132">
                  <c:v>34.733293741945289</c:v>
                </c:pt>
                <c:pt idx="133">
                  <c:v>35.199299233523718</c:v>
                </c:pt>
                <c:pt idx="134">
                  <c:v>35.669906564108608</c:v>
                </c:pt>
                <c:pt idx="135">
                  <c:v>36.145153991556342</c:v>
                </c:pt>
                <c:pt idx="136">
                  <c:v>36.625080329819319</c:v>
                </c:pt>
                <c:pt idx="137">
                  <c:v>37.109724957820397</c:v>
                </c:pt>
                <c:pt idx="138">
                  <c:v>37.599127828509054</c:v>
                </c:pt>
                <c:pt idx="139">
                  <c:v>38.093329478103463</c:v>
                </c:pt>
                <c:pt idx="140">
                  <c:v>38.592371035522774</c:v>
                </c:pt>
                <c:pt idx="141">
                  <c:v>39.096294232014237</c:v>
                </c:pt>
                <c:pt idx="142">
                  <c:v>39.605141410979591</c:v>
                </c:pt>
                <c:pt idx="143">
                  <c:v>40.118955538005416</c:v>
                </c:pt>
                <c:pt idx="144">
                  <c:v>40.637780211102346</c:v>
                </c:pt>
                <c:pt idx="145">
                  <c:v>41.16165967115807</c:v>
                </c:pt>
                <c:pt idx="146">
                  <c:v>41.690638812609329</c:v>
                </c:pt>
                <c:pt idx="147">
                  <c:v>42.224763194337811</c:v>
                </c:pt>
                <c:pt idx="148">
                  <c:v>42.764079050795914</c:v>
                </c:pt>
                <c:pt idx="149">
                  <c:v>43.308633303367181</c:v>
                </c:pt>
                <c:pt idx="150">
                  <c:v>43.858473571967892</c:v>
                </c:pt>
                <c:pt idx="151">
                  <c:v>44.413648186894896</c:v>
                </c:pt>
                <c:pt idx="152">
                  <c:v>44.974206200926304</c:v>
                </c:pt>
                <c:pt idx="153">
                  <c:v>45.540197401680921</c:v>
                </c:pt>
                <c:pt idx="154">
                  <c:v>46.111672324242704</c:v>
                </c:pt>
                <c:pt idx="155">
                  <c:v>46.688682264057249</c:v>
                </c:pt>
                <c:pt idx="156">
                  <c:v>47.271279290106349</c:v>
                </c:pt>
                <c:pt idx="157">
                  <c:v>47.859516258368032</c:v>
                </c:pt>
                <c:pt idx="158">
                  <c:v>48.453446825569316</c:v>
                </c:pt>
                <c:pt idx="159">
                  <c:v>49.053125463238331</c:v>
                </c:pt>
                <c:pt idx="160">
                  <c:v>49.658607472064084</c:v>
                </c:pt>
                <c:pt idx="161">
                  <c:v>50.269948996571209</c:v>
                </c:pt>
                <c:pt idx="162">
                  <c:v>50.887207040117801</c:v>
                </c:pt>
                <c:pt idx="163">
                  <c:v>51.510439480224349</c:v>
                </c:pt>
                <c:pt idx="164">
                  <c:v>52.139705084242991</c:v>
                </c:pt>
                <c:pt idx="165">
                  <c:v>52.775063525374222</c:v>
                </c:pt>
                <c:pt idx="166">
                  <c:v>53.416575399041967</c:v>
                </c:pt>
                <c:pt idx="167">
                  <c:v>54.06430223963482</c:v>
                </c:pt>
                <c:pt idx="168">
                  <c:v>54.718306537623299</c:v>
                </c:pt>
                <c:pt idx="169">
                  <c:v>55.378651757063309</c:v>
                </c:pt>
                <c:pt idx="170">
                  <c:v>56.045402353495433</c:v>
                </c:pt>
                <c:pt idx="171">
                  <c:v>56.718623792250611</c:v>
                </c:pt>
                <c:pt idx="172">
                  <c:v>57.398382567172888</c:v>
                </c:pt>
                <c:pt idx="173">
                  <c:v>58.084746219770246</c:v>
                </c:pt>
                <c:pt idx="174">
                  <c:v>58.777783358804804</c:v>
                </c:pt>
                <c:pt idx="175">
                  <c:v>59.477563680334434</c:v>
                </c:pt>
                <c:pt idx="176">
                  <c:v>60.184157988217159</c:v>
                </c:pt>
                <c:pt idx="177">
                  <c:v>60.897638215091355</c:v>
                </c:pt>
                <c:pt idx="178">
                  <c:v>61.618077443844697</c:v>
                </c:pt>
                <c:pt idx="179">
                  <c:v>62.345549929584251</c:v>
                </c:pt>
                <c:pt idx="180">
                  <c:v>63.080131122122133</c:v>
                </c:pt>
                <c:pt idx="181">
                  <c:v>63.82189768899056</c:v>
                </c:pt>
                <c:pt idx="182">
                  <c:v>64.570927539000493</c:v>
                </c:pt>
                <c:pt idx="183">
                  <c:v>65.327299846359253</c:v>
                </c:pt>
                <c:pt idx="184">
                  <c:v>66.09109507536219</c:v>
                </c:pt>
                <c:pt idx="185">
                  <c:v>66.8623950056745</c:v>
                </c:pt>
                <c:pt idx="186">
                  <c:v>67.641282758219617</c:v>
                </c:pt>
                <c:pt idx="187">
                  <c:v>68.427842821690817</c:v>
                </c:pt>
                <c:pt idx="188">
                  <c:v>69.222161079704236</c:v>
                </c:pt>
                <c:pt idx="189">
                  <c:v>70.024324838610269</c:v>
                </c:pt>
                <c:pt idx="190">
                  <c:v>70.834422855983036</c:v>
                </c:pt>
                <c:pt idx="191">
                  <c:v>71.652545369806518</c:v>
                </c:pt>
                <c:pt idx="192">
                  <c:v>72.478784128377413</c:v>
                </c:pt>
                <c:pt idx="193">
                  <c:v>73.313232420945496</c:v>
                </c:pt>
                <c:pt idx="194">
                  <c:v>74.155985109111867</c:v>
                </c:pt>
                <c:pt idx="195">
                  <c:v>75.007138659008248</c:v>
                </c:pt>
                <c:pt idx="196">
                  <c:v>75.866791174278475</c:v>
                </c:pt>
                <c:pt idx="197">
                  <c:v>76.735042429886917</c:v>
                </c:pt>
                <c:pt idx="198">
                  <c:v>77.611993906777258</c:v>
                </c:pt>
                <c:pt idx="199">
                  <c:v>78.497748827406284</c:v>
                </c:pt>
                <c:pt idx="200">
                  <c:v>79.392412192179606</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Calculations'!$AS$9:$AS$209</c:f>
              <c:numCache>
                <c:formatCode>0.0</c:formatCode>
                <c:ptCount val="201"/>
                <c:pt idx="0">
                  <c:v>1.7814833812847548</c:v>
                </c:pt>
                <c:pt idx="1">
                  <c:v>1.8184020959785434</c:v>
                </c:pt>
                <c:pt idx="2">
                  <c:v>1.8589752573397031</c:v>
                </c:pt>
                <c:pt idx="3">
                  <c:v>1.9032032906796434</c:v>
                </c:pt>
                <c:pt idx="4">
                  <c:v>1.9510869383252569</c:v>
                </c:pt>
                <c:pt idx="5">
                  <c:v>2.0026272595548682</c:v>
                </c:pt>
                <c:pt idx="6">
                  <c:v>2.0578256306029568</c:v>
                </c:pt>
                <c:pt idx="7">
                  <c:v>2.1166837447336566</c:v>
                </c:pt>
                <c:pt idx="8">
                  <c:v>2.1792036123829845</c:v>
                </c:pt>
                <c:pt idx="9">
                  <c:v>2.2453875613698244</c:v>
                </c:pt>
                <c:pt idx="10">
                  <c:v>2.3152382371756994</c:v>
                </c:pt>
                <c:pt idx="11">
                  <c:v>2.3887586032934118</c:v>
                </c:pt>
                <c:pt idx="12">
                  <c:v>2.4659519416446289</c:v>
                </c:pt>
                <c:pt idx="13">
                  <c:v>2.5468218530665547</c:v>
                </c:pt>
                <c:pt idx="14">
                  <c:v>2.631372257867826</c:v>
                </c:pt>
                <c:pt idx="15">
                  <c:v>2.7196073964538221</c:v>
                </c:pt>
                <c:pt idx="16">
                  <c:v>2.8115318300215919</c:v>
                </c:pt>
                <c:pt idx="17">
                  <c:v>2.9071504413246307</c:v>
                </c:pt>
                <c:pt idx="18">
                  <c:v>3.0064684355077778</c:v>
                </c:pt>
                <c:pt idx="19">
                  <c:v>3.109491341012526</c:v>
                </c:pt>
                <c:pt idx="20">
                  <c:v>3.2162250105530572</c:v>
                </c:pt>
                <c:pt idx="21">
                  <c:v>3.3266756221633678</c:v>
                </c:pt>
                <c:pt idx="22">
                  <c:v>3.4408496803158481</c:v>
                </c:pt>
                <c:pt idx="23">
                  <c:v>3.5587540171117498</c:v>
                </c:pt>
                <c:pt idx="24">
                  <c:v>3.6803957935439389</c:v>
                </c:pt>
                <c:pt idx="25">
                  <c:v>3.805782500832454</c:v>
                </c:pt>
                <c:pt idx="26">
                  <c:v>3.9349219618333162</c:v>
                </c:pt>
                <c:pt idx="27">
                  <c:v>4.0678223325211738</c:v>
                </c:pt>
                <c:pt idx="28">
                  <c:v>4.2044921035462837</c:v>
                </c:pt>
                <c:pt idx="29">
                  <c:v>4.3449401018664835</c:v>
                </c:pt>
                <c:pt idx="30">
                  <c:v>4.4891754924547094</c:v>
                </c:pt>
                <c:pt idx="31">
                  <c:v>4.6372077800827878</c:v>
                </c:pt>
                <c:pt idx="32">
                  <c:v>4.7890468111821116</c:v>
                </c:pt>
                <c:pt idx="33">
                  <c:v>4.9460335922085088</c:v>
                </c:pt>
                <c:pt idx="34">
                  <c:v>5.1402082295624698</c:v>
                </c:pt>
                <c:pt idx="35">
                  <c:v>5.3382560816756204</c:v>
                </c:pt>
                <c:pt idx="36">
                  <c:v>5.5401899374571117</c:v>
                </c:pt>
                <c:pt idx="37">
                  <c:v>5.7460229434022674</c:v>
                </c:pt>
                <c:pt idx="38">
                  <c:v>5.9557686061682489</c:v>
                </c:pt>
                <c:pt idx="39">
                  <c:v>6.1694407952342036</c:v>
                </c:pt>
                <c:pt idx="40">
                  <c:v>6.3870537456468837</c:v>
                </c:pt>
                <c:pt idx="41">
                  <c:v>6.6086220608528725</c:v>
                </c:pt>
                <c:pt idx="42">
                  <c:v>6.8341607156184745</c:v>
                </c:pt>
                <c:pt idx="43">
                  <c:v>7.0636850590384661</c:v>
                </c:pt>
                <c:pt idx="44">
                  <c:v>7.2972108176349249</c:v>
                </c:pt>
                <c:pt idx="45">
                  <c:v>7.534754098547312</c:v>
                </c:pt>
                <c:pt idx="46">
                  <c:v>7.7763313928151501</c:v>
                </c:pt>
                <c:pt idx="47">
                  <c:v>8.0219595787545792</c:v>
                </c:pt>
                <c:pt idx="48">
                  <c:v>8.2716559254302187</c:v>
                </c:pt>
                <c:pt idx="49">
                  <c:v>8.52543809622364</c:v>
                </c:pt>
                <c:pt idx="50">
                  <c:v>8.7833241525000272</c:v>
                </c:pt>
                <c:pt idx="51">
                  <c:v>9.0453325573744703</c:v>
                </c:pt>
                <c:pt idx="52">
                  <c:v>9.3114821795794196</c:v>
                </c:pt>
                <c:pt idx="53">
                  <c:v>9.5817922974349568</c:v>
                </c:pt>
                <c:pt idx="54">
                  <c:v>9.8562826029235104</c:v>
                </c:pt>
                <c:pt idx="55">
                  <c:v>10.134973205870713</c:v>
                </c:pt>
                <c:pt idx="56">
                  <c:v>10.41788463823414</c:v>
                </c:pt>
                <c:pt idx="57">
                  <c:v>10.705037858501758</c:v>
                </c:pt>
                <c:pt idx="58">
                  <c:v>10.996454256201975</c:v>
                </c:pt>
                <c:pt idx="59">
                  <c:v>11.292155656527106</c:v>
                </c:pt>
                <c:pt idx="60">
                  <c:v>11.592164325072366</c:v>
                </c:pt>
                <c:pt idx="61">
                  <c:v>11.896502972692288</c:v>
                </c:pt>
                <c:pt idx="62">
                  <c:v>12.205194760476783</c:v>
                </c:pt>
                <c:pt idx="63">
                  <c:v>12.518263304848878</c:v>
                </c:pt>
                <c:pt idx="64">
                  <c:v>12.835732682786475</c:v>
                </c:pt>
                <c:pt idx="65">
                  <c:v>13.157627437170261</c:v>
                </c:pt>
                <c:pt idx="66">
                  <c:v>13.48397258226032</c:v>
                </c:pt>
                <c:pt idx="67">
                  <c:v>13.814793609303594</c:v>
                </c:pt>
                <c:pt idx="68">
                  <c:v>14.150116492275</c:v>
                </c:pt>
                <c:pt idx="69">
                  <c:v>14.489967693754451</c:v>
                </c:pt>
                <c:pt idx="70">
                  <c:v>14.834374170942658</c:v>
                </c:pt>
                <c:pt idx="71">
                  <c:v>15.183363381818232</c:v>
                </c:pt>
                <c:pt idx="72">
                  <c:v>15.536963291439033</c:v>
                </c:pt>
                <c:pt idx="73">
                  <c:v>15.895202378390508</c:v>
                </c:pt>
                <c:pt idx="74">
                  <c:v>16.258109641384021</c:v>
                </c:pt>
                <c:pt idx="75">
                  <c:v>16.625714606008188</c:v>
                </c:pt>
                <c:pt idx="76">
                  <c:v>16.998047331636378</c:v>
                </c:pt>
                <c:pt idx="77">
                  <c:v>17.375138418493492</c:v>
                </c:pt>
                <c:pt idx="78">
                  <c:v>17.757019014885408</c:v>
                </c:pt>
                <c:pt idx="79">
                  <c:v>18.143720824594435</c:v>
                </c:pt>
                <c:pt idx="80">
                  <c:v>18.535276114444333</c:v>
                </c:pt>
                <c:pt idx="81">
                  <c:v>18.931717722038314</c:v>
                </c:pt>
                <c:pt idx="82">
                  <c:v>19.333079063673914</c:v>
                </c:pt>
                <c:pt idx="83">
                  <c:v>19.739394142438481</c:v>
                </c:pt>
                <c:pt idx="84">
                  <c:v>20.150697556489046</c:v>
                </c:pt>
                <c:pt idx="85">
                  <c:v>20.567024507520717</c:v>
                </c:pt>
                <c:pt idx="86">
                  <c:v>20.988410809427791</c:v>
                </c:pt>
                <c:pt idx="87">
                  <c:v>21.414892897161568</c:v>
                </c:pt>
                <c:pt idx="88">
                  <c:v>21.846507835789609</c:v>
                </c:pt>
                <c:pt idx="89">
                  <c:v>22.283293329760458</c:v>
                </c:pt>
                <c:pt idx="90">
                  <c:v>22.725287732379048</c:v>
                </c:pt>
                <c:pt idx="91">
                  <c:v>23.1725300554969</c:v>
                </c:pt>
                <c:pt idx="92">
                  <c:v>23.625059979422524</c:v>
                </c:pt>
                <c:pt idx="93">
                  <c:v>24.082917863056689</c:v>
                </c:pt>
                <c:pt idx="94">
                  <c:v>24.546144754258091</c:v>
                </c:pt>
                <c:pt idx="95">
                  <c:v>25.014782400444375</c:v>
                </c:pt>
                <c:pt idx="96">
                  <c:v>25.488873259434204</c:v>
                </c:pt>
                <c:pt idx="97">
                  <c:v>25.968460510536069</c:v>
                </c:pt>
                <c:pt idx="98">
                  <c:v>26.453588065889498</c:v>
                </c:pt>
                <c:pt idx="99">
                  <c:v>26.944300582064546</c:v>
                </c:pt>
                <c:pt idx="100">
                  <c:v>27.440643471926133</c:v>
                </c:pt>
                <c:pt idx="101">
                  <c:v>27.942662916769073</c:v>
                </c:pt>
                <c:pt idx="102">
                  <c:v>28.450405878730539</c:v>
                </c:pt>
                <c:pt idx="103">
                  <c:v>28.96392011348674</c:v>
                </c:pt>
                <c:pt idx="104">
                  <c:v>29.483254183240398</c:v>
                </c:pt>
                <c:pt idx="105">
                  <c:v>30.008457470006661</c:v>
                </c:pt>
                <c:pt idx="106">
                  <c:v>30.539580189204091</c:v>
                </c:pt>
                <c:pt idx="107">
                  <c:v>31.076673403558885</c:v>
                </c:pt>
                <c:pt idx="108">
                  <c:v>31.619789037329625</c:v>
                </c:pt>
                <c:pt idx="109">
                  <c:v>32.168979890860953</c:v>
                </c:pt>
                <c:pt idx="110">
                  <c:v>32.724299655473885</c:v>
                </c:pt>
                <c:pt idx="111">
                  <c:v>33.285802928701735</c:v>
                </c:pt>
                <c:pt idx="112">
                  <c:v>33.853545229880162</c:v>
                </c:pt>
                <c:pt idx="113">
                  <c:v>34.427583016100208</c:v>
                </c:pt>
                <c:pt idx="114">
                  <c:v>35.007973698533952</c:v>
                </c:pt>
                <c:pt idx="115">
                  <c:v>35.594775659141803</c:v>
                </c:pt>
                <c:pt idx="116">
                  <c:v>36.188048267771855</c:v>
                </c:pt>
                <c:pt idx="117">
                  <c:v>36.787851899660936</c:v>
                </c:pt>
                <c:pt idx="118">
                  <c:v>37.394247953348156</c:v>
                </c:pt>
                <c:pt idx="119">
                  <c:v>38.007298869011507</c:v>
                </c:pt>
                <c:pt idx="120">
                  <c:v>38.627068147238752</c:v>
                </c:pt>
                <c:pt idx="121">
                  <c:v>39.253620368243901</c:v>
                </c:pt>
                <c:pt idx="122">
                  <c:v>39.887021211541288</c:v>
                </c:pt>
                <c:pt idx="123">
                  <c:v>40.527337476089301</c:v>
                </c:pt>
                <c:pt idx="124">
                  <c:v>41.174637100916115</c:v>
                </c:pt>
                <c:pt idx="125">
                  <c:v>41.828989186240847</c:v>
                </c:pt>
                <c:pt idx="126">
                  <c:v>42.490464015103072</c:v>
                </c:pt>
                <c:pt idx="127">
                  <c:v>43.159133075514625</c:v>
                </c:pt>
                <c:pt idx="128">
                  <c:v>43.835069083147943</c:v>
                </c:pt>
                <c:pt idx="129">
                  <c:v>44.518346004575506</c:v>
                </c:pt>
                <c:pt idx="130">
                  <c:v>45.209039081075666</c:v>
                </c:pt>
                <c:pt idx="131">
                  <c:v>45.907224853020359</c:v>
                </c:pt>
                <c:pt idx="132">
                  <c:v>46.612981184860701</c:v>
                </c:pt>
                <c:pt idx="133">
                  <c:v>47.326387290727617</c:v>
                </c:pt>
                <c:pt idx="134">
                  <c:v>48.047523760664021</c:v>
                </c:pt>
                <c:pt idx="135">
                  <c:v>48.776472587506738</c:v>
                </c:pt>
                <c:pt idx="136">
                  <c:v>49.513317194436368</c:v>
                </c:pt>
                <c:pt idx="137">
                  <c:v>50.258142463213993</c:v>
                </c:pt>
                <c:pt idx="138">
                  <c:v>51.011034763124449</c:v>
                </c:pt>
                <c:pt idx="139">
                  <c:v>51.772081980645901</c:v>
                </c:pt>
                <c:pt idx="140">
                  <c:v>52.54137354986721</c:v>
                </c:pt>
                <c:pt idx="141">
                  <c:v>53.319000483674181</c:v>
                </c:pt>
                <c:pt idx="142">
                  <c:v>54.105055405727178</c:v>
                </c:pt>
                <c:pt idx="143">
                  <c:v>54.899632583253158</c:v>
                </c:pt>
                <c:pt idx="144">
                  <c:v>55.70282796067584</c:v>
                </c:pt>
                <c:pt idx="145">
                  <c:v>56.514739194108564</c:v>
                </c:pt>
                <c:pt idx="146">
                  <c:v>57.335465686735546</c:v>
                </c:pt>
                <c:pt idx="147">
                  <c:v>58.165108625107763</c:v>
                </c:pt>
                <c:pt idx="148">
                  <c:v>59.003771016380348</c:v>
                </c:pt>
                <c:pt idx="149">
                  <c:v>59.851557726520241</c:v>
                </c:pt>
                <c:pt idx="150">
                  <c:v>60.708575519512841</c:v>
                </c:pt>
                <c:pt idx="151">
                  <c:v>61.574933097597793</c:v>
                </c:pt>
                <c:pt idx="152">
                  <c:v>62.45074114256559</c:v>
                </c:pt>
                <c:pt idx="153">
                  <c:v>63.33611235814638</c:v>
                </c:pt>
                <c:pt idx="154">
                  <c:v>64.231161513525407</c:v>
                </c:pt>
                <c:pt idx="155">
                  <c:v>65.136005488019165</c:v>
                </c:pt>
                <c:pt idx="156">
                  <c:v>66.050763316948007</c:v>
                </c:pt>
                <c:pt idx="157">
                  <c:v>66.975556238742612</c:v>
                </c:pt>
                <c:pt idx="158">
                  <c:v>67.910507743322796</c:v>
                </c:pt>
                <c:pt idx="159">
                  <c:v>68.85574362178815</c:v>
                </c:pt>
                <c:pt idx="160">
                  <c:v>69.811392017461998</c:v>
                </c:pt>
                <c:pt idx="161">
                  <c:v>70.777583478331451</c:v>
                </c:pt>
                <c:pt idx="162">
                  <c:v>71.754451010928008</c:v>
                </c:pt>
                <c:pt idx="163">
                  <c:v>72.742130135693969</c:v>
                </c:pt>
                <c:pt idx="164">
                  <c:v>73.740758943883861</c:v>
                </c:pt>
                <c:pt idx="165">
                  <c:v>74.750478156047478</c:v>
                </c:pt>
                <c:pt idx="166">
                  <c:v>75.771431182149342</c:v>
                </c:pt>
                <c:pt idx="167">
                  <c:v>76.803764183374739</c:v>
                </c:pt>
                <c:pt idx="168">
                  <c:v>77.847626135678851</c:v>
                </c:pt>
                <c:pt idx="169">
                  <c:v>78.903168895135892</c:v>
                </c:pt>
                <c:pt idx="170">
                  <c:v>79.970547265147886</c:v>
                </c:pt>
                <c:pt idx="171">
                  <c:v>81.049919065573789</c:v>
                </c:pt>
                <c:pt idx="172">
                  <c:v>82.141445203844327</c:v>
                </c:pt>
                <c:pt idx="173">
                  <c:v>83.245289748127789</c:v>
                </c:pt>
                <c:pt idx="174">
                  <c:v>84.361620002615794</c:v>
                </c:pt>
                <c:pt idx="175">
                  <c:v>85.49060658500197</c:v>
                </c:pt>
                <c:pt idx="176">
                  <c:v>86.63242350622599</c:v>
                </c:pt>
                <c:pt idx="177">
                  <c:v>87.787248252561923</c:v>
                </c:pt>
                <c:pt idx="178">
                  <c:v>88.955261870130713</c:v>
                </c:pt>
                <c:pt idx="179">
                  <c:v>90.136649051919917</c:v>
                </c:pt>
                <c:pt idx="180">
                  <c:v>91.331598227398246</c:v>
                </c:pt>
                <c:pt idx="181">
                  <c:v>92.540301654814584</c:v>
                </c:pt>
                <c:pt idx="182">
                  <c:v>93.762955516275994</c:v>
                </c:pt>
                <c:pt idx="183">
                  <c:v>94.999760015702236</c:v>
                </c:pt>
                <c:pt idx="184">
                  <c:v>96.250919479757826</c:v>
                </c:pt>
                <c:pt idx="185">
                  <c:v>97.516642461868628</c:v>
                </c:pt>
                <c:pt idx="186">
                  <c:v>98.797141849432165</c:v>
                </c:pt>
                <c:pt idx="187">
                  <c:v>100.09263497433625</c:v>
                </c:pt>
                <c:pt idx="188">
                  <c:v>101.40334372690609</c:v>
                </c:pt>
                <c:pt idx="189">
                  <c:v>102.72949467340389</c:v>
                </c:pt>
                <c:pt idx="190">
                  <c:v>104.07131917720942</c:v>
                </c:pt>
                <c:pt idx="191">
                  <c:v>105.42905352381781</c:v>
                </c:pt>
                <c:pt idx="192">
                  <c:v>106.80293904979537</c:v>
                </c:pt>
                <c:pt idx="193">
                  <c:v>108.19322227583828</c:v>
                </c:pt>
                <c:pt idx="194">
                  <c:v>109.60015504408904</c:v>
                </c:pt>
                <c:pt idx="195">
                  <c:v>111.02399465986821</c:v>
                </c:pt>
                <c:pt idx="196">
                  <c:v>112.46500403798917</c:v>
                </c:pt>
                <c:pt idx="197">
                  <c:v>113.92345185382895</c:v>
                </c:pt>
                <c:pt idx="198">
                  <c:v>115.3996126993347</c:v>
                </c:pt>
                <c:pt idx="199">
                  <c:v>116.8937672441571</c:v>
                </c:pt>
                <c:pt idx="200">
                  <c:v>118.40620240210602</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Calculations'!$AC$9:$AC$209</c:f>
              <c:numCache>
                <c:formatCode>0.0000</c:formatCode>
                <c:ptCount val="201"/>
                <c:pt idx="0">
                  <c:v>4.6340916871782302E-2</c:v>
                </c:pt>
                <c:pt idx="1">
                  <c:v>4.6304036407528566E-2</c:v>
                </c:pt>
                <c:pt idx="2">
                  <c:v>4.6315332324223538E-2</c:v>
                </c:pt>
                <c:pt idx="3">
                  <c:v>4.637483895341335E-2</c:v>
                </c:pt>
                <c:pt idx="4">
                  <c:v>4.6482593393910927E-2</c:v>
                </c:pt>
                <c:pt idx="5">
                  <c:v>4.6638635518724873E-2</c:v>
                </c:pt>
                <c:pt idx="6">
                  <c:v>4.684300798239209E-2</c:v>
                </c:pt>
                <c:pt idx="7">
                  <c:v>4.7095756228716867E-2</c:v>
                </c:pt>
                <c:pt idx="8">
                  <c:v>4.7396928498918078E-2</c:v>
                </c:pt>
                <c:pt idx="9">
                  <c:v>4.7746575840187454E-2</c:v>
                </c:pt>
                <c:pt idx="10">
                  <c:v>4.8144752114661016E-2</c:v>
                </c:pt>
                <c:pt idx="11">
                  <c:v>4.8591514008806673E-2</c:v>
                </c:pt>
                <c:pt idx="12">
                  <c:v>4.9086921043230612E-2</c:v>
                </c:pt>
                <c:pt idx="13">
                  <c:v>4.9631035582904957E-2</c:v>
                </c:pt>
                <c:pt idx="14">
                  <c:v>5.0223922847820596E-2</c:v>
                </c:pt>
                <c:pt idx="15">
                  <c:v>5.0865650924067238E-2</c:v>
                </c:pt>
                <c:pt idx="16">
                  <c:v>5.1556290775344696E-2</c:v>
                </c:pt>
                <c:pt idx="17">
                  <c:v>5.2295916254908578E-2</c:v>
                </c:pt>
                <c:pt idx="18">
                  <c:v>5.3084604117953405E-2</c:v>
                </c:pt>
                <c:pt idx="19">
                  <c:v>5.3922434034437659E-2</c:v>
                </c:pt>
                <c:pt idx="20">
                  <c:v>5.4809488602353462E-2</c:v>
                </c:pt>
                <c:pt idx="21">
                  <c:v>5.5745853361445774E-2</c:v>
                </c:pt>
                <c:pt idx="22">
                  <c:v>5.6731616807384186E-2</c:v>
                </c:pt>
                <c:pt idx="23">
                  <c:v>5.7766870406392161E-2</c:v>
                </c:pt>
                <c:pt idx="24">
                  <c:v>5.8851708610337644E-2</c:v>
                </c:pt>
                <c:pt idx="25">
                  <c:v>5.9986228872289327E-2</c:v>
                </c:pt>
                <c:pt idx="26">
                  <c:v>6.117053166254352E-2</c:v>
                </c:pt>
                <c:pt idx="27">
                  <c:v>6.240472048512602E-2</c:v>
                </c:pt>
                <c:pt idx="28">
                  <c:v>6.3688901894773761E-2</c:v>
                </c:pt>
                <c:pt idx="29">
                  <c:v>6.502318551440163E-2</c:v>
                </c:pt>
                <c:pt idx="30">
                  <c:v>7.7219639306032664E-2</c:v>
                </c:pt>
                <c:pt idx="31">
                  <c:v>9.6927614572116932E-2</c:v>
                </c:pt>
                <c:pt idx="32">
                  <c:v>0.11669733913135347</c:v>
                </c:pt>
                <c:pt idx="33">
                  <c:v>0.13586856926957994</c:v>
                </c:pt>
                <c:pt idx="34">
                  <c:v>0.13853825872173101</c:v>
                </c:pt>
                <c:pt idx="35">
                  <c:v>0.14126013936731691</c:v>
                </c:pt>
                <c:pt idx="36">
                  <c:v>0.14403437658425078</c:v>
                </c:pt>
                <c:pt idx="37">
                  <c:v>0.14686113913253715</c:v>
                </c:pt>
                <c:pt idx="38">
                  <c:v>0.14974059918004498</c:v>
                </c:pt>
                <c:pt idx="39">
                  <c:v>0.15267293232886076</c:v>
                </c:pt>
                <c:pt idx="40">
                  <c:v>0.15565831764222673</c:v>
                </c:pt>
                <c:pt idx="41">
                  <c:v>0.15869693767207491</c:v>
                </c:pt>
                <c:pt idx="42">
                  <c:v>0.16178897848716253</c:v>
                </c:pt>
                <c:pt idx="43">
                  <c:v>0.16493462970181882</c:v>
                </c:pt>
                <c:pt idx="44">
                  <c:v>0.16813408450531092</c:v>
                </c:pt>
                <c:pt idx="45">
                  <c:v>0.17138753969183698</c:v>
                </c:pt>
                <c:pt idx="46">
                  <c:v>0.1746951956911568</c:v>
                </c:pt>
                <c:pt idx="47">
                  <c:v>0.17805725659986776</c:v>
                </c:pt>
                <c:pt idx="48">
                  <c:v>0.1814739302133361</c:v>
                </c:pt>
                <c:pt idx="49">
                  <c:v>0.18494542805829231</c:v>
                </c:pt>
                <c:pt idx="50">
                  <c:v>0.18847196542610173</c:v>
                </c:pt>
                <c:pt idx="51">
                  <c:v>0.19205376140671893</c:v>
                </c:pt>
                <c:pt idx="52">
                  <c:v>0.19569103892333697</c:v>
                </c:pt>
                <c:pt idx="53">
                  <c:v>0.19938402476774175</c:v>
                </c:pt>
                <c:pt idx="54">
                  <c:v>0.20313294963638223</c:v>
                </c:pt>
                <c:pt idx="55">
                  <c:v>0.20693804816716768</c:v>
                </c:pt>
                <c:pt idx="56">
                  <c:v>0.21079955897700309</c:v>
                </c:pt>
                <c:pt idx="57">
                  <c:v>0.21471772470007369</c:v>
                </c:pt>
                <c:pt idx="58">
                  <c:v>0.21869279202689215</c:v>
                </c:pt>
                <c:pt idx="59">
                  <c:v>0.22272501174411771</c:v>
                </c:pt>
                <c:pt idx="60">
                  <c:v>0.22681463877516295</c:v>
                </c:pt>
                <c:pt idx="61">
                  <c:v>0.23096193222159786</c:v>
                </c:pt>
                <c:pt idx="62">
                  <c:v>0.23516715540536628</c:v>
                </c:pt>
                <c:pt idx="63">
                  <c:v>0.23943057591182651</c:v>
                </c:pt>
                <c:pt idx="64">
                  <c:v>0.24375246563363084</c:v>
                </c:pt>
                <c:pt idx="65">
                  <c:v>0.24813310081545722</c:v>
                </c:pt>
                <c:pt idx="66">
                  <c:v>0.25257276209960755</c:v>
                </c:pt>
                <c:pt idx="67">
                  <c:v>0.25707173457248633</c:v>
                </c:pt>
                <c:pt idx="68">
                  <c:v>0.26163030781197671</c:v>
                </c:pt>
                <c:pt idx="69">
                  <c:v>0.26624877593572643</c:v>
                </c:pt>
                <c:pt idx="70">
                  <c:v>0.27092743765036137</c:v>
                </c:pt>
                <c:pt idx="71">
                  <c:v>0.27566659630164142</c:v>
                </c:pt>
                <c:pt idx="72">
                  <c:v>0.28046655992557595</c:v>
                </c:pt>
                <c:pt idx="73">
                  <c:v>0.28532764130051508</c:v>
                </c:pt>
                <c:pt idx="74">
                  <c:v>0.29025015800023385</c:v>
                </c:pt>
                <c:pt idx="75">
                  <c:v>0.29523443244802661</c:v>
                </c:pt>
                <c:pt idx="76">
                  <c:v>0.30028079197183111</c:v>
                </c:pt>
                <c:pt idx="77">
                  <c:v>0.30538956886039781</c:v>
                </c:pt>
                <c:pt idx="78">
                  <c:v>0.31056110042052615</c:v>
                </c:pt>
                <c:pt idx="79">
                  <c:v>0.31579572903538516</c:v>
                </c:pt>
                <c:pt idx="80">
                  <c:v>0.32109380222393868</c:v>
                </c:pt>
                <c:pt idx="81">
                  <c:v>0.32645567270149572</c:v>
                </c:pt>
                <c:pt idx="82">
                  <c:v>0.33188169844140469</c:v>
                </c:pt>
                <c:pt idx="83">
                  <c:v>0.33737224273791727</c:v>
                </c:pt>
                <c:pt idx="84">
                  <c:v>0.34292767427023674</c:v>
                </c:pt>
                <c:pt idx="85">
                  <c:v>0.34854836716777876</c:v>
                </c:pt>
                <c:pt idx="86">
                  <c:v>0.35423470107666499</c:v>
                </c:pt>
                <c:pt idx="87">
                  <c:v>0.35998706122747165</c:v>
                </c:pt>
                <c:pt idx="88">
                  <c:v>0.36580583850425913</c:v>
                </c:pt>
                <c:pt idx="89">
                  <c:v>0.37169142951490469</c:v>
                </c:pt>
                <c:pt idx="90">
                  <c:v>0.3776442366627657</c:v>
                </c:pt>
                <c:pt idx="91">
                  <c:v>0.38366466821969547</c:v>
                </c:pt>
                <c:pt idx="92">
                  <c:v>0.38975313840044179</c:v>
                </c:pt>
                <c:pt idx="93">
                  <c:v>0.39591006743845042</c:v>
                </c:pt>
                <c:pt idx="94">
                  <c:v>0.40213588166310588</c:v>
                </c:pt>
                <c:pt idx="95">
                  <c:v>0.40843101357843331</c:v>
                </c:pt>
                <c:pt idx="96">
                  <c:v>0.41479590194329174</c:v>
                </c:pt>
                <c:pt idx="97">
                  <c:v>0.42123099185308949</c:v>
                </c:pt>
                <c:pt idx="98">
                  <c:v>0.42773673482304908</c:v>
                </c:pt>
                <c:pt idx="99">
                  <c:v>0.43431358887305455</c:v>
                </c:pt>
                <c:pt idx="100">
                  <c:v>0.44096201861411244</c:v>
                </c:pt>
                <c:pt idx="101">
                  <c:v>0.44768249533645788</c:v>
                </c:pt>
                <c:pt idx="102">
                  <c:v>0.45447549709933877</c:v>
                </c:pt>
                <c:pt idx="103">
                  <c:v>0.4613415088225159</c:v>
                </c:pt>
                <c:pt idx="104">
                  <c:v>0.46828102237950564</c:v>
                </c:pt>
                <c:pt idx="105">
                  <c:v>0.47529453669261118</c:v>
                </c:pt>
                <c:pt idx="106">
                  <c:v>0.48238255782976874</c:v>
                </c:pt>
                <c:pt idx="107">
                  <c:v>0.48954559910325474</c:v>
                </c:pt>
                <c:pt idx="108">
                  <c:v>0.49678418117028522</c:v>
                </c:pt>
                <c:pt idx="109">
                  <c:v>0.50409883213555295</c:v>
                </c:pt>
                <c:pt idx="110">
                  <c:v>0.51149008765573656</c:v>
                </c:pt>
                <c:pt idx="111">
                  <c:v>0.51895849104602909</c:v>
                </c:pt>
                <c:pt idx="112">
                  <c:v>0.52650459338872135</c:v>
                </c:pt>
                <c:pt idx="113">
                  <c:v>0.5341289536438909</c:v>
                </c:pt>
                <c:pt idx="114">
                  <c:v>0.54183213876223613</c:v>
                </c:pt>
                <c:pt idx="115">
                  <c:v>0.54961472380010012</c:v>
                </c:pt>
                <c:pt idx="116">
                  <c:v>0.55747729203673568</c:v>
                </c:pt>
                <c:pt idx="117">
                  <c:v>0.56542043509385709</c:v>
                </c:pt>
                <c:pt idx="118">
                  <c:v>0.57344475305752463</c:v>
                </c:pt>
                <c:pt idx="119">
                  <c:v>0.58155085460241807</c:v>
                </c:pt>
                <c:pt idx="120">
                  <c:v>0.58973935711854686</c:v>
                </c:pt>
                <c:pt idx="121">
                  <c:v>0.59801088684044912</c:v>
                </c:pt>
                <c:pt idx="122">
                  <c:v>0.60636607897893768</c:v>
                </c:pt>
                <c:pt idx="123">
                  <c:v>0.61480557785544732</c:v>
                </c:pt>
                <c:pt idx="124">
                  <c:v>0.62333003703903589</c:v>
                </c:pt>
                <c:pt idx="125">
                  <c:v>0.63194011948610562</c:v>
                </c:pt>
                <c:pt idx="126">
                  <c:v>0.64063649768289999</c:v>
                </c:pt>
                <c:pt idx="127">
                  <c:v>0.64941985379083711</c:v>
                </c:pt>
                <c:pt idx="128">
                  <c:v>0.65829087979474643</c:v>
                </c:pt>
                <c:pt idx="129">
                  <c:v>0.66725027765407074</c:v>
                </c:pt>
                <c:pt idx="130">
                  <c:v>0.67629875945710349</c:v>
                </c:pt>
                <c:pt idx="131">
                  <c:v>0.6854370475783238</c:v>
                </c:pt>
                <c:pt idx="132">
                  <c:v>0.69466587483890574</c:v>
                </c:pt>
                <c:pt idx="133">
                  <c:v>0.70398598467047435</c:v>
                </c:pt>
                <c:pt idx="134">
                  <c:v>0.71339813128217222</c:v>
                </c:pt>
                <c:pt idx="135">
                  <c:v>0.72290307983112678</c:v>
                </c:pt>
                <c:pt idx="136">
                  <c:v>0.73250160659638641</c:v>
                </c:pt>
                <c:pt idx="137">
                  <c:v>0.74219449915640801</c:v>
                </c:pt>
                <c:pt idx="138">
                  <c:v>0.75198255657018109</c:v>
                </c:pt>
                <c:pt idx="139">
                  <c:v>0.76186658956206921</c:v>
                </c:pt>
                <c:pt idx="140">
                  <c:v>0.77184742071045542</c:v>
                </c:pt>
                <c:pt idx="141">
                  <c:v>0.78192588464028479</c:v>
                </c:pt>
                <c:pt idx="142">
                  <c:v>0.79210282821959188</c:v>
                </c:pt>
                <c:pt idx="143">
                  <c:v>0.80237911076010837</c:v>
                </c:pt>
                <c:pt idx="144">
                  <c:v>0.81275560422204685</c:v>
                </c:pt>
                <c:pt idx="145">
                  <c:v>0.82323319342316137</c:v>
                </c:pt>
                <c:pt idx="146">
                  <c:v>0.83381277625218664</c:v>
                </c:pt>
                <c:pt idx="147">
                  <c:v>0.84449526388675622</c:v>
                </c:pt>
                <c:pt idx="148">
                  <c:v>0.85528158101591822</c:v>
                </c:pt>
                <c:pt idx="149">
                  <c:v>0.86617266606734356</c:v>
                </c:pt>
                <c:pt idx="150">
                  <c:v>0.87716947143935786</c:v>
                </c:pt>
                <c:pt idx="151">
                  <c:v>0.88827296373789799</c:v>
                </c:pt>
                <c:pt idx="152">
                  <c:v>0.89948412401852607</c:v>
                </c:pt>
                <c:pt idx="153">
                  <c:v>0.91080394803361842</c:v>
                </c:pt>
                <c:pt idx="154">
                  <c:v>0.92223344648485406</c:v>
                </c:pt>
                <c:pt idx="155">
                  <c:v>0.93377364528114493</c:v>
                </c:pt>
                <c:pt idx="156">
                  <c:v>0.94542558580212699</c:v>
                </c:pt>
                <c:pt idx="157">
                  <c:v>0.95719032516736069</c:v>
                </c:pt>
                <c:pt idx="158">
                  <c:v>0.96906893651138637</c:v>
                </c:pt>
                <c:pt idx="159">
                  <c:v>0.98106250926476668</c:v>
                </c:pt>
                <c:pt idx="160">
                  <c:v>0.99317214944128174</c:v>
                </c:pt>
                <c:pt idx="161">
                  <c:v>1.0053989799314242</c:v>
                </c:pt>
                <c:pt idx="162">
                  <c:v>1.017744140802356</c:v>
                </c:pt>
                <c:pt idx="163">
                  <c:v>1.0302087896044869</c:v>
                </c:pt>
                <c:pt idx="164">
                  <c:v>1.0427941016848599</c:v>
                </c:pt>
                <c:pt idx="165">
                  <c:v>1.0555012705074844</c:v>
                </c:pt>
                <c:pt idx="166">
                  <c:v>1.0683315079808393</c:v>
                </c:pt>
                <c:pt idx="167">
                  <c:v>1.0812860447926964</c:v>
                </c:pt>
                <c:pt idx="168">
                  <c:v>1.0943661307524659</c:v>
                </c:pt>
                <c:pt idx="169">
                  <c:v>1.1075730351412663</c:v>
                </c:pt>
                <c:pt idx="170">
                  <c:v>1.1209080470699087</c:v>
                </c:pt>
                <c:pt idx="171">
                  <c:v>1.1343724758450122</c:v>
                </c:pt>
                <c:pt idx="172">
                  <c:v>1.1479676513434578</c:v>
                </c:pt>
                <c:pt idx="173">
                  <c:v>1.1616949243954049</c:v>
                </c:pt>
                <c:pt idx="174">
                  <c:v>1.1755556671760961</c:v>
                </c:pt>
                <c:pt idx="175">
                  <c:v>1.1895512736066887</c:v>
                </c:pt>
                <c:pt idx="176">
                  <c:v>1.2036831597643431</c:v>
                </c:pt>
                <c:pt idx="177">
                  <c:v>1.2179527643018271</c:v>
                </c:pt>
                <c:pt idx="178">
                  <c:v>1.232361548876894</c:v>
                </c:pt>
                <c:pt idx="179">
                  <c:v>1.2469109985916851</c:v>
                </c:pt>
                <c:pt idx="180">
                  <c:v>1.2616026224424426</c:v>
                </c:pt>
                <c:pt idx="181">
                  <c:v>1.2764379537798112</c:v>
                </c:pt>
                <c:pt idx="182">
                  <c:v>1.2914185507800098</c:v>
                </c:pt>
                <c:pt idx="183">
                  <c:v>1.3065459969271851</c:v>
                </c:pt>
                <c:pt idx="184">
                  <c:v>1.3218219015072439</c:v>
                </c:pt>
                <c:pt idx="185">
                  <c:v>1.33724790011349</c:v>
                </c:pt>
                <c:pt idx="186">
                  <c:v>1.3528256551643922</c:v>
                </c:pt>
                <c:pt idx="187">
                  <c:v>1.3685568564338164</c:v>
                </c:pt>
                <c:pt idx="188">
                  <c:v>1.3844432215940847</c:v>
                </c:pt>
                <c:pt idx="189">
                  <c:v>1.4004864967722053</c:v>
                </c:pt>
                <c:pt idx="190">
                  <c:v>1.4166884571196607</c:v>
                </c:pt>
                <c:pt idx="191">
                  <c:v>1.4330509073961304</c:v>
                </c:pt>
                <c:pt idx="192">
                  <c:v>1.4495756825675483</c:v>
                </c:pt>
                <c:pt idx="193">
                  <c:v>1.4662646484189099</c:v>
                </c:pt>
                <c:pt idx="194">
                  <c:v>1.4831197021822373</c:v>
                </c:pt>
                <c:pt idx="195">
                  <c:v>1.5001427731801649</c:v>
                </c:pt>
                <c:pt idx="196">
                  <c:v>1.5173358234855696</c:v>
                </c:pt>
                <c:pt idx="197">
                  <c:v>1.5347008485977385</c:v>
                </c:pt>
                <c:pt idx="198">
                  <c:v>1.5522398781355451</c:v>
                </c:pt>
                <c:pt idx="199">
                  <c:v>1.5699549765481258</c:v>
                </c:pt>
                <c:pt idx="200">
                  <c:v>1.5878482438435921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Calculations'!$AG$9:$AG$209</c:f>
              <c:numCache>
                <c:formatCode>0.0000</c:formatCode>
                <c:ptCount val="201"/>
                <c:pt idx="0">
                  <c:v>3.5629667625695097E-2</c:v>
                </c:pt>
                <c:pt idx="1">
                  <c:v>3.6368041919570868E-2</c:v>
                </c:pt>
                <c:pt idx="2">
                  <c:v>3.7179505146794065E-2</c:v>
                </c:pt>
                <c:pt idx="3">
                  <c:v>3.8064065813592868E-2</c:v>
                </c:pt>
                <c:pt idx="4">
                  <c:v>3.9021738766505137E-2</c:v>
                </c:pt>
                <c:pt idx="5">
                  <c:v>4.0052545191097362E-2</c:v>
                </c:pt>
                <c:pt idx="6">
                  <c:v>4.1156512612059132E-2</c:v>
                </c:pt>
                <c:pt idx="7">
                  <c:v>4.2333674894673136E-2</c:v>
                </c:pt>
                <c:pt idx="8">
                  <c:v>4.3584072247659693E-2</c:v>
                </c:pt>
                <c:pt idx="9">
                  <c:v>4.4907751227396486E-2</c:v>
                </c:pt>
                <c:pt idx="10">
                  <c:v>4.6304764743513992E-2</c:v>
                </c:pt>
                <c:pt idx="11">
                  <c:v>4.7775172065868232E-2</c:v>
                </c:pt>
                <c:pt idx="12">
                  <c:v>4.9319038832892577E-2</c:v>
                </c:pt>
                <c:pt idx="13">
                  <c:v>5.0936437061331094E-2</c:v>
                </c:pt>
                <c:pt idx="14">
                  <c:v>5.2627445157356519E-2</c:v>
                </c:pt>
                <c:pt idx="15">
                  <c:v>5.4392147929076443E-2</c:v>
                </c:pt>
                <c:pt idx="16">
                  <c:v>5.6230636600431837E-2</c:v>
                </c:pt>
                <c:pt idx="17">
                  <c:v>5.8143008826492613E-2</c:v>
                </c:pt>
                <c:pt idx="18">
                  <c:v>6.0129368710155555E-2</c:v>
                </c:pt>
                <c:pt idx="19">
                  <c:v>6.2189826820250524E-2</c:v>
                </c:pt>
                <c:pt idx="20">
                  <c:v>6.4324500211061147E-2</c:v>
                </c:pt>
                <c:pt idx="21">
                  <c:v>6.6533512443267356E-2</c:v>
                </c:pt>
                <c:pt idx="22">
                  <c:v>6.8816993606316962E-2</c:v>
                </c:pt>
                <c:pt idx="23">
                  <c:v>7.1175080342234992E-2</c:v>
                </c:pt>
                <c:pt idx="24">
                  <c:v>7.3607915870878782E-2</c:v>
                </c:pt>
                <c:pt idx="25">
                  <c:v>7.6115650016649078E-2</c:v>
                </c:pt>
                <c:pt idx="26">
                  <c:v>7.869843923666632E-2</c:v>
                </c:pt>
                <c:pt idx="27">
                  <c:v>8.1356446650423478E-2</c:v>
                </c:pt>
                <c:pt idx="28">
                  <c:v>8.408984207092568E-2</c:v>
                </c:pt>
                <c:pt idx="29">
                  <c:v>8.6898802037329664E-2</c:v>
                </c:pt>
                <c:pt idx="30">
                  <c:v>8.9783509849094195E-2</c:v>
                </c:pt>
                <c:pt idx="31">
                  <c:v>9.2744155601655762E-2</c:v>
                </c:pt>
                <c:pt idx="32">
                  <c:v>9.5780936223642227E-2</c:v>
                </c:pt>
                <c:pt idx="33">
                  <c:v>9.892067184417018E-2</c:v>
                </c:pt>
                <c:pt idx="34">
                  <c:v>0.1028041645912494</c:v>
                </c:pt>
                <c:pt idx="35">
                  <c:v>0.10676512163351241</c:v>
                </c:pt>
                <c:pt idx="36">
                  <c:v>0.11080379874914224</c:v>
                </c:pt>
                <c:pt idx="37">
                  <c:v>0.11492045886804535</c:v>
                </c:pt>
                <c:pt idx="38">
                  <c:v>0.11911537212336498</c:v>
                </c:pt>
                <c:pt idx="39">
                  <c:v>0.12338881590468408</c:v>
                </c:pt>
                <c:pt idx="40">
                  <c:v>0.12774107491293768</c:v>
                </c:pt>
                <c:pt idx="41">
                  <c:v>0.13217244121705746</c:v>
                </c:pt>
                <c:pt idx="42">
                  <c:v>0.13668321431236949</c:v>
                </c:pt>
                <c:pt idx="43">
                  <c:v>0.14127370118076932</c:v>
                </c:pt>
                <c:pt idx="44">
                  <c:v>0.1459442163526985</c:v>
                </c:pt>
                <c:pt idx="45">
                  <c:v>0.15069508197094625</c:v>
                </c:pt>
                <c:pt idx="46">
                  <c:v>0.155526627856303</c:v>
                </c:pt>
                <c:pt idx="47">
                  <c:v>0.16043919157509157</c:v>
                </c:pt>
                <c:pt idx="48">
                  <c:v>0.16543311850860437</c:v>
                </c:pt>
                <c:pt idx="49">
                  <c:v>0.17050876192447278</c:v>
                </c:pt>
                <c:pt idx="50">
                  <c:v>0.17566648305000054</c:v>
                </c:pt>
                <c:pt idx="51">
                  <c:v>0.18090665114748941</c:v>
                </c:pt>
                <c:pt idx="52">
                  <c:v>0.18622964359158839</c:v>
                </c:pt>
                <c:pt idx="53">
                  <c:v>0.19163584594869915</c:v>
                </c:pt>
                <c:pt idx="54">
                  <c:v>0.19712565205847021</c:v>
                </c:pt>
                <c:pt idx="55">
                  <c:v>0.20269946411741427</c:v>
                </c:pt>
                <c:pt idx="56">
                  <c:v>0.2083576927646828</c:v>
                </c:pt>
                <c:pt idx="57">
                  <c:v>0.21410075717003516</c:v>
                </c:pt>
                <c:pt idx="58">
                  <c:v>0.2199290851240395</c:v>
                </c:pt>
                <c:pt idx="59">
                  <c:v>0.22584311313054212</c:v>
                </c:pt>
                <c:pt idx="60">
                  <c:v>0.23184328650144731</c:v>
                </c:pt>
                <c:pt idx="61">
                  <c:v>0.23793005945384574</c:v>
                </c:pt>
                <c:pt idx="62">
                  <c:v>0.24410389520953565</c:v>
                </c:pt>
                <c:pt idx="63">
                  <c:v>0.25036526609697757</c:v>
                </c:pt>
                <c:pt idx="64">
                  <c:v>0.25671465365572949</c:v>
                </c:pt>
                <c:pt idx="65">
                  <c:v>0.26315254874340521</c:v>
                </c:pt>
                <c:pt idx="66">
                  <c:v>0.2696794516452064</c:v>
                </c:pt>
                <c:pt idx="67">
                  <c:v>0.27629587218607188</c:v>
                </c:pt>
                <c:pt idx="68">
                  <c:v>0.2830023298455</c:v>
                </c:pt>
                <c:pt idx="69">
                  <c:v>0.28979935387508904</c:v>
                </c:pt>
                <c:pt idx="70">
                  <c:v>0.29668748341885315</c:v>
                </c:pt>
                <c:pt idx="71">
                  <c:v>0.30366726763636465</c:v>
                </c:pt>
                <c:pt idx="72">
                  <c:v>0.31073926582878064</c:v>
                </c:pt>
                <c:pt idx="73">
                  <c:v>0.31790404756781016</c:v>
                </c:pt>
                <c:pt idx="74">
                  <c:v>0.32516219282768039</c:v>
                </c:pt>
                <c:pt idx="75">
                  <c:v>0.33251429212016376</c:v>
                </c:pt>
                <c:pt idx="76">
                  <c:v>0.33996094663272758</c:v>
                </c:pt>
                <c:pt idx="77">
                  <c:v>0.34750276836986987</c:v>
                </c:pt>
                <c:pt idx="78">
                  <c:v>0.35514038029770817</c:v>
                </c:pt>
                <c:pt idx="79">
                  <c:v>0.36287441649188873</c:v>
                </c:pt>
                <c:pt idx="80">
                  <c:v>0.37070552228888665</c:v>
                </c:pt>
                <c:pt idx="81">
                  <c:v>0.37863435444076632</c:v>
                </c:pt>
                <c:pt idx="82">
                  <c:v>0.38666158127347827</c:v>
                </c:pt>
                <c:pt idx="83">
                  <c:v>0.39478788284876964</c:v>
                </c:pt>
                <c:pt idx="84">
                  <c:v>0.40301395112978095</c:v>
                </c:pt>
                <c:pt idx="85">
                  <c:v>0.41134049015041435</c:v>
                </c:pt>
                <c:pt idx="86">
                  <c:v>0.41976821618855581</c:v>
                </c:pt>
                <c:pt idx="87">
                  <c:v>0.42829785794323139</c:v>
                </c:pt>
                <c:pt idx="88">
                  <c:v>0.43693015671579216</c:v>
                </c:pt>
                <c:pt idx="89">
                  <c:v>0.44566586659520913</c:v>
                </c:pt>
                <c:pt idx="90">
                  <c:v>0.45450575464758097</c:v>
                </c:pt>
                <c:pt idx="91">
                  <c:v>0.46345060110993797</c:v>
                </c:pt>
                <c:pt idx="92">
                  <c:v>0.47250119958845049</c:v>
                </c:pt>
                <c:pt idx="93">
                  <c:v>0.48165835726113382</c:v>
                </c:pt>
                <c:pt idx="94">
                  <c:v>0.49092289508516179</c:v>
                </c:pt>
                <c:pt idx="95">
                  <c:v>0.50029564800888748</c:v>
                </c:pt>
                <c:pt idx="96">
                  <c:v>0.50977746518868405</c:v>
                </c:pt>
                <c:pt idx="97">
                  <c:v>0.51936921021072135</c:v>
                </c:pt>
                <c:pt idx="98">
                  <c:v>0.52907176131778999</c:v>
                </c:pt>
                <c:pt idx="99">
                  <c:v>0.53888601164129091</c:v>
                </c:pt>
                <c:pt idx="100">
                  <c:v>0.5488128694385227</c:v>
                </c:pt>
                <c:pt idx="101">
                  <c:v>0.55885325833538146</c:v>
                </c:pt>
                <c:pt idx="102">
                  <c:v>0.56900811757461078</c:v>
                </c:pt>
                <c:pt idx="103">
                  <c:v>0.57927840226973482</c:v>
                </c:pt>
                <c:pt idx="104">
                  <c:v>0.58966508366480797</c:v>
                </c:pt>
                <c:pt idx="105">
                  <c:v>0.60016914940013322</c:v>
                </c:pt>
                <c:pt idx="106">
                  <c:v>0.61079160378408182</c:v>
                </c:pt>
                <c:pt idx="107">
                  <c:v>0.62153346807117771</c:v>
                </c:pt>
                <c:pt idx="108">
                  <c:v>0.63239578074659253</c:v>
                </c:pt>
                <c:pt idx="109">
                  <c:v>0.6433795978172191</c:v>
                </c:pt>
                <c:pt idx="110">
                  <c:v>0.65448599310947775</c:v>
                </c:pt>
                <c:pt idx="111">
                  <c:v>0.66571605857403471</c:v>
                </c:pt>
                <c:pt idx="112">
                  <c:v>0.67707090459760322</c:v>
                </c:pt>
                <c:pt idx="113">
                  <c:v>0.6885516603220041</c:v>
                </c:pt>
                <c:pt idx="114">
                  <c:v>0.70015947397067901</c:v>
                </c:pt>
                <c:pt idx="115">
                  <c:v>0.71189551318283606</c:v>
                </c:pt>
                <c:pt idx="116">
                  <c:v>0.7237609653554371</c:v>
                </c:pt>
                <c:pt idx="117">
                  <c:v>0.73575703799321879</c:v>
                </c:pt>
                <c:pt idx="118">
                  <c:v>0.74788495906696317</c:v>
                </c:pt>
                <c:pt idx="119">
                  <c:v>0.76014597738023015</c:v>
                </c:pt>
                <c:pt idx="120">
                  <c:v>0.77254136294477505</c:v>
                </c:pt>
                <c:pt idx="121">
                  <c:v>0.78507240736487804</c:v>
                </c:pt>
                <c:pt idx="122">
                  <c:v>0.79774042423082581</c:v>
                </c:pt>
                <c:pt idx="123">
                  <c:v>0.81054674952178607</c:v>
                </c:pt>
                <c:pt idx="124">
                  <c:v>0.82349274201832234</c:v>
                </c:pt>
                <c:pt idx="125">
                  <c:v>0.83657978372481701</c:v>
                </c:pt>
                <c:pt idx="126">
                  <c:v>0.84980928030206138</c:v>
                </c:pt>
                <c:pt idx="127">
                  <c:v>0.86318266151029255</c:v>
                </c:pt>
                <c:pt idx="128">
                  <c:v>0.87670138166295886</c:v>
                </c:pt>
                <c:pt idx="129">
                  <c:v>0.89036692009151008</c:v>
                </c:pt>
                <c:pt idx="130">
                  <c:v>0.90418078162151339</c:v>
                </c:pt>
                <c:pt idx="131">
                  <c:v>0.91814449706040724</c:v>
                </c:pt>
                <c:pt idx="132">
                  <c:v>0.93225962369721405</c:v>
                </c:pt>
                <c:pt idx="133">
                  <c:v>0.94652774581455235</c:v>
                </c:pt>
                <c:pt idx="134">
                  <c:v>0.96095047521328036</c:v>
                </c:pt>
                <c:pt idx="135">
                  <c:v>0.97552945175013484</c:v>
                </c:pt>
                <c:pt idx="136">
                  <c:v>0.99026634388872736</c:v>
                </c:pt>
                <c:pt idx="137">
                  <c:v>1.0051628492642799</c:v>
                </c:pt>
                <c:pt idx="138">
                  <c:v>1.020220695262489</c:v>
                </c:pt>
                <c:pt idx="139">
                  <c:v>1.035441639612918</c:v>
                </c:pt>
                <c:pt idx="140">
                  <c:v>1.0508274709973442</c:v>
                </c:pt>
                <c:pt idx="141">
                  <c:v>1.0663800096734837</c:v>
                </c:pt>
                <c:pt idx="142">
                  <c:v>1.0821011081145435</c:v>
                </c:pt>
                <c:pt idx="143">
                  <c:v>1.0979926516650631</c:v>
                </c:pt>
                <c:pt idx="144">
                  <c:v>1.1140565592135168</c:v>
                </c:pt>
                <c:pt idx="145">
                  <c:v>1.1302947838821713</c:v>
                </c:pt>
                <c:pt idx="146">
                  <c:v>1.1467093137347109</c:v>
                </c:pt>
                <c:pt idx="147">
                  <c:v>1.1633021725021553</c:v>
                </c:pt>
                <c:pt idx="148">
                  <c:v>1.1800754203276069</c:v>
                </c:pt>
                <c:pt idx="149">
                  <c:v>1.1970311545304049</c:v>
                </c:pt>
                <c:pt idx="150">
                  <c:v>1.2141715103902568</c:v>
                </c:pt>
                <c:pt idx="151">
                  <c:v>1.2314986619519559</c:v>
                </c:pt>
                <c:pt idx="152">
                  <c:v>1.2490148228513118</c:v>
                </c:pt>
                <c:pt idx="153">
                  <c:v>1.2667222471629276</c:v>
                </c:pt>
                <c:pt idx="154">
                  <c:v>1.2846232302705081</c:v>
                </c:pt>
                <c:pt idx="155">
                  <c:v>1.3027201097603833</c:v>
                </c:pt>
                <c:pt idx="156">
                  <c:v>1.3210152663389603</c:v>
                </c:pt>
                <c:pt idx="157">
                  <c:v>1.3395111247748521</c:v>
                </c:pt>
                <c:pt idx="158">
                  <c:v>1.358210154866456</c:v>
                </c:pt>
                <c:pt idx="159">
                  <c:v>1.3771148724357631</c:v>
                </c:pt>
                <c:pt idx="160">
                  <c:v>1.3962278403492399</c:v>
                </c:pt>
                <c:pt idx="161">
                  <c:v>1.415551669566629</c:v>
                </c:pt>
                <c:pt idx="162">
                  <c:v>1.4350890202185602</c:v>
                </c:pt>
                <c:pt idx="163">
                  <c:v>1.4548426027138794</c:v>
                </c:pt>
                <c:pt idx="164">
                  <c:v>1.4748151788776771</c:v>
                </c:pt>
                <c:pt idx="165">
                  <c:v>1.4950095631209497</c:v>
                </c:pt>
                <c:pt idx="166">
                  <c:v>1.5154286236429868</c:v>
                </c:pt>
                <c:pt idx="167">
                  <c:v>1.5360752836674947</c:v>
                </c:pt>
                <c:pt idx="168">
                  <c:v>1.556952522713577</c:v>
                </c:pt>
                <c:pt idx="169">
                  <c:v>1.5780633779027178</c:v>
                </c:pt>
                <c:pt idx="170">
                  <c:v>1.5994109453029577</c:v>
                </c:pt>
                <c:pt idx="171">
                  <c:v>1.6209983813114759</c:v>
                </c:pt>
                <c:pt idx="172">
                  <c:v>1.6428289040768866</c:v>
                </c:pt>
                <c:pt idx="173">
                  <c:v>1.6649057949625559</c:v>
                </c:pt>
                <c:pt idx="174">
                  <c:v>1.687232400052316</c:v>
                </c:pt>
                <c:pt idx="175">
                  <c:v>1.7098121317000394</c:v>
                </c:pt>
                <c:pt idx="176">
                  <c:v>1.7326484701245197</c:v>
                </c:pt>
                <c:pt idx="177">
                  <c:v>1.7557449650512384</c:v>
                </c:pt>
                <c:pt idx="178">
                  <c:v>1.7791052374026142</c:v>
                </c:pt>
                <c:pt idx="179">
                  <c:v>1.8027329810383983</c:v>
                </c:pt>
                <c:pt idx="180">
                  <c:v>1.8266319645479649</c:v>
                </c:pt>
                <c:pt idx="181">
                  <c:v>1.8508060330962917</c:v>
                </c:pt>
                <c:pt idx="182">
                  <c:v>1.8752591103255198</c:v>
                </c:pt>
                <c:pt idx="183">
                  <c:v>1.8999952003140448</c:v>
                </c:pt>
                <c:pt idx="184">
                  <c:v>1.9250183895951565</c:v>
                </c:pt>
                <c:pt idx="185">
                  <c:v>1.9503328492373726</c:v>
                </c:pt>
                <c:pt idx="186">
                  <c:v>1.9759428369886434</c:v>
                </c:pt>
                <c:pt idx="187">
                  <c:v>2.001852699486725</c:v>
                </c:pt>
                <c:pt idx="188">
                  <c:v>2.0280668745381218</c:v>
                </c:pt>
                <c:pt idx="189">
                  <c:v>2.0545898934680777</c:v>
                </c:pt>
                <c:pt idx="190">
                  <c:v>2.0814263835441884</c:v>
                </c:pt>
                <c:pt idx="191">
                  <c:v>2.1085810704763563</c:v>
                </c:pt>
                <c:pt idx="192">
                  <c:v>2.1360587809959073</c:v>
                </c:pt>
                <c:pt idx="193">
                  <c:v>2.1638644455167655</c:v>
                </c:pt>
                <c:pt idx="194">
                  <c:v>2.1920031008817809</c:v>
                </c:pt>
                <c:pt idx="195">
                  <c:v>2.2204798931973642</c:v>
                </c:pt>
                <c:pt idx="196">
                  <c:v>2.2493000807597836</c:v>
                </c:pt>
                <c:pt idx="197">
                  <c:v>2.278469037076579</c:v>
                </c:pt>
                <c:pt idx="198">
                  <c:v>2.3079922539866939</c:v>
                </c:pt>
                <c:pt idx="199">
                  <c:v>2.337875344883142</c:v>
                </c:pt>
                <c:pt idx="200">
                  <c:v>2.3681240480421204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Calculations'!$Q$9:$Q$209</c:f>
              <c:numCache>
                <c:formatCode>0.0000</c:formatCode>
                <c:ptCount val="201"/>
                <c:pt idx="0">
                  <c:v>0.21787353549574384</c:v>
                </c:pt>
                <c:pt idx="1">
                  <c:v>0.21793155532221564</c:v>
                </c:pt>
                <c:pt idx="2">
                  <c:v>0.21808986626301727</c:v>
                </c:pt>
                <c:pt idx="3">
                  <c:v>0.21834847592839771</c:v>
                </c:pt>
                <c:pt idx="4">
                  <c:v>0.21870739675074002</c:v>
                </c:pt>
                <c:pt idx="5">
                  <c:v>0.21916664598605576</c:v>
                </c:pt>
                <c:pt idx="6">
                  <c:v>0.219726245716059</c:v>
                </c:pt>
                <c:pt idx="7">
                  <c:v>0.22038622285082124</c:v>
                </c:pt>
                <c:pt idx="8">
                  <c:v>0.22114660913200695</c:v>
                </c:pt>
                <c:pt idx="9">
                  <c:v>0.22200744113669127</c:v>
                </c:pt>
                <c:pt idx="10">
                  <c:v>0.22296876028175991</c:v>
                </c:pt>
                <c:pt idx="11">
                  <c:v>0.22403061282889303</c:v>
                </c:pt>
                <c:pt idx="12">
                  <c:v>0.22519304989013378</c:v>
                </c:pt>
                <c:pt idx="13">
                  <c:v>0.2264561274340425</c:v>
                </c:pt>
                <c:pt idx="14">
                  <c:v>0.22781990629243884</c:v>
                </c:pt>
                <c:pt idx="15">
                  <c:v>0.22928445216773222</c:v>
                </c:pt>
                <c:pt idx="16">
                  <c:v>0.23084983564084327</c:v>
                </c:pt>
                <c:pt idx="17">
                  <c:v>0.23251613217971734</c:v>
                </c:pt>
                <c:pt idx="18">
                  <c:v>0.23428342214843223</c:v>
                </c:pt>
                <c:pt idx="19">
                  <c:v>0.23615179081690238</c:v>
                </c:pt>
                <c:pt idx="20">
                  <c:v>0.23812132837118147</c:v>
                </c:pt>
                <c:pt idx="21">
                  <c:v>0.24019212992436578</c:v>
                </c:pt>
                <c:pt idx="22">
                  <c:v>0.24236429552810085</c:v>
                </c:pt>
                <c:pt idx="23">
                  <c:v>0.2446379301846941</c:v>
                </c:pt>
                <c:pt idx="24">
                  <c:v>0.24701314385983605</c:v>
                </c:pt>
                <c:pt idx="25">
                  <c:v>0.24949005149593292</c:v>
                </c:pt>
                <c:pt idx="26">
                  <c:v>0.25206877302605391</c:v>
                </c:pt>
                <c:pt idx="27">
                  <c:v>0.2547494333884962</c:v>
                </c:pt>
                <c:pt idx="28">
                  <c:v>0.25753216254197064</c:v>
                </c:pt>
                <c:pt idx="29">
                  <c:v>0.26041709548141279</c:v>
                </c:pt>
                <c:pt idx="30">
                  <c:v>0.26340437225442054</c:v>
                </c:pt>
                <c:pt idx="31">
                  <c:v>0.26649413797832527</c:v>
                </c:pt>
                <c:pt idx="32">
                  <c:v>0.26968654285789745</c:v>
                </c:pt>
                <c:pt idx="33">
                  <c:v>0.27298174220369248</c:v>
                </c:pt>
                <c:pt idx="34">
                  <c:v>0.27637989645104094</c:v>
                </c:pt>
                <c:pt idx="35">
                  <c:v>0.27988117117968608</c:v>
                </c:pt>
                <c:pt idx="36">
                  <c:v>0.28348573713407549</c:v>
                </c:pt>
                <c:pt idx="37">
                  <c:v>0.28719377024430937</c:v>
                </c:pt>
                <c:pt idx="38">
                  <c:v>0.29100545164775121</c:v>
                </c:pt>
                <c:pt idx="39">
                  <c:v>0.2949209677113066</c:v>
                </c:pt>
                <c:pt idx="40">
                  <c:v>0.29894051005437311</c:v>
                </c:pt>
                <c:pt idx="41">
                  <c:v>0.30306427557246968</c:v>
                </c:pt>
                <c:pt idx="42">
                  <c:v>0.30729246646154795</c:v>
                </c:pt>
                <c:pt idx="43">
                  <c:v>0.31162529024299296</c:v>
                </c:pt>
                <c:pt idx="44">
                  <c:v>0.31606295978931886</c:v>
                </c:pt>
                <c:pt idx="45">
                  <c:v>0.3206056933505651</c:v>
                </c:pt>
                <c:pt idx="46">
                  <c:v>0.3252537145813994</c:v>
                </c:pt>
                <c:pt idx="47">
                  <c:v>0.33000725256893415</c:v>
                </c:pt>
                <c:pt idx="48">
                  <c:v>0.33486654186126297</c:v>
                </c:pt>
                <c:pt idx="49">
                  <c:v>0.33983182249672295</c:v>
                </c:pt>
                <c:pt idx="50">
                  <c:v>0.34490334003389056</c:v>
                </c:pt>
                <c:pt idx="51">
                  <c:v>0.35008134558231874</c:v>
                </c:pt>
                <c:pt idx="52">
                  <c:v>0.35536609583402057</c:v>
                </c:pt>
                <c:pt idx="53">
                  <c:v>0.36075785309570868</c:v>
                </c:pt>
                <c:pt idx="54">
                  <c:v>0.36625688532179757</c:v>
                </c:pt>
                <c:pt idx="55">
                  <c:v>0.37186346614817678</c:v>
                </c:pt>
                <c:pt idx="56">
                  <c:v>0.37757787492676198</c:v>
                </c:pt>
                <c:pt idx="57">
                  <c:v>0.38340039676083382</c:v>
                </c:pt>
                <c:pt idx="58">
                  <c:v>0.38933132254117231</c:v>
                </c:pt>
                <c:pt idx="59">
                  <c:v>0.39537094898299463</c:v>
                </c:pt>
                <c:pt idx="60">
                  <c:v>0.40151957866370697</c:v>
                </c:pt>
                <c:pt idx="61">
                  <c:v>0.40777752006147738</c:v>
                </c:pt>
                <c:pt idx="62">
                  <c:v>0.41414508759464153</c:v>
                </c:pt>
                <c:pt idx="63">
                  <c:v>0.42062260166194776</c:v>
                </c:pt>
                <c:pt idx="64">
                  <c:v>0.42721038868365491</c:v>
                </c:pt>
                <c:pt idx="65">
                  <c:v>0.43390878114348941</c:v>
                </c:pt>
                <c:pt idx="66">
                  <c:v>0.44071811763147456</c:v>
                </c:pt>
                <c:pt idx="67">
                  <c:v>0.44763874288764061</c:v>
                </c:pt>
                <c:pt idx="68">
                  <c:v>0.45467100784662801</c:v>
                </c:pt>
                <c:pt idx="69">
                  <c:v>0.46181526968319347</c:v>
                </c:pt>
                <c:pt idx="70">
                  <c:v>0.4690718918586313</c:v>
                </c:pt>
                <c:pt idx="71">
                  <c:v>0.47644124416811928</c:v>
                </c:pt>
                <c:pt idx="72">
                  <c:v>0.48392370278900471</c:v>
                </c:pt>
                <c:pt idx="73">
                  <c:v>0.49151965033003869</c:v>
                </c:pt>
                <c:pt idx="74">
                  <c:v>0.49922947588157357</c:v>
                </c:pt>
                <c:pt idx="75">
                  <c:v>0.50705357506673432</c:v>
                </c:pt>
                <c:pt idx="76">
                  <c:v>0.51499235009357902</c:v>
                </c:pt>
                <c:pt idx="77">
                  <c:v>0.52304620980825867</c:v>
                </c:pt>
                <c:pt idx="78">
                  <c:v>0.53121556974919271</c:v>
                </c:pt>
                <c:pt idx="79">
                  <c:v>0.53950085220227162</c:v>
                </c:pt>
                <c:pt idx="80">
                  <c:v>0.54790248625710258</c:v>
                </c:pt>
                <c:pt idx="81">
                  <c:v>0.55642090786431087</c:v>
                </c:pt>
                <c:pt idx="82">
                  <c:v>0.56505655989391235</c:v>
                </c:pt>
                <c:pt idx="83">
                  <c:v>0.57380989219477452</c:v>
                </c:pt>
                <c:pt idx="84">
                  <c:v>0.5826813616551757</c:v>
                </c:pt>
                <c:pt idx="85">
                  <c:v>0.59167143226448327</c:v>
                </c:pt>
                <c:pt idx="86">
                  <c:v>0.60078057517596606</c:v>
                </c:pt>
                <c:pt idx="87">
                  <c:v>0.61000926877075479</c:v>
                </c:pt>
                <c:pt idx="88">
                  <c:v>0.61935799872297026</c:v>
                </c:pt>
                <c:pt idx="89">
                  <c:v>0.62882725806603335</c:v>
                </c:pt>
                <c:pt idx="90">
                  <c:v>0.63841754726017874</c:v>
                </c:pt>
                <c:pt idx="91">
                  <c:v>0.64812937426118433</c:v>
                </c:pt>
                <c:pt idx="92">
                  <c:v>0.65796325459034066</c:v>
                </c:pt>
                <c:pt idx="93">
                  <c:v>0.66791971140567341</c:v>
                </c:pt>
                <c:pt idx="94">
                  <c:v>0.67799927557444262</c:v>
                </c:pt>
                <c:pt idx="95">
                  <c:v>0.68820248574693554</c:v>
                </c:pt>
                <c:pt idx="96">
                  <c:v>0.69852988843157293</c:v>
                </c:pt>
                <c:pt idx="97">
                  <c:v>0.70898203807135052</c:v>
                </c:pt>
                <c:pt idx="98">
                  <c:v>0.71955949712163569</c:v>
                </c:pt>
                <c:pt idx="99">
                  <c:v>0.73026283612933818</c:v>
                </c:pt>
                <c:pt idx="100">
                  <c:v>0.74109263381348378</c:v>
                </c:pt>
                <c:pt idx="101">
                  <c:v>0.75204947714720216</c:v>
                </c:pt>
                <c:pt idx="102">
                  <c:v>0.76313396144116119</c:v>
                </c:pt>
                <c:pt idx="103">
                  <c:v>0.77434669042846549</c:v>
                </c:pt>
                <c:pt idx="104">
                  <c:v>0.78568827635104488</c:v>
                </c:pt>
                <c:pt idx="105">
                  <c:v>0.79715934004755562</c:v>
                </c:pt>
                <c:pt idx="106">
                  <c:v>0.80876051104282065</c:v>
                </c:pt>
                <c:pt idx="107">
                  <c:v>0.82049242763883123</c:v>
                </c:pt>
                <c:pt idx="108">
                  <c:v>0.83235573700733845</c:v>
                </c:pt>
                <c:pt idx="109">
                  <c:v>0.84435109528406094</c:v>
                </c:pt>
                <c:pt idx="110">
                  <c:v>0.85647916766453203</c:v>
                </c:pt>
                <c:pt idx="111">
                  <c:v>0.86874062850161682</c:v>
                </c:pt>
                <c:pt idx="112">
                  <c:v>0.8811361614047275</c:v>
                </c:pt>
                <c:pt idx="113">
                  <c:v>0.89366645934076372</c:v>
                </c:pt>
                <c:pt idx="114">
                  <c:v>0.90633222473680886</c:v>
                </c:pt>
                <c:pt idx="115">
                  <c:v>0.91913416958460892</c:v>
                </c:pt>
                <c:pt idx="116">
                  <c:v>0.93207301554686794</c:v>
                </c:pt>
                <c:pt idx="117">
                  <c:v>0.94514949406539106</c:v>
                </c:pt>
                <c:pt idx="118">
                  <c:v>0.95836434647110513</c:v>
                </c:pt>
                <c:pt idx="119">
                  <c:v>0.97171832409598813</c:v>
                </c:pt>
                <c:pt idx="120">
                  <c:v>0.98521218838694646</c:v>
                </c:pt>
                <c:pt idx="121">
                  <c:v>0.99884671102166744</c:v>
                </c:pt>
                <c:pt idx="122">
                  <c:v>1.0126226740264836</c:v>
                </c:pt>
                <c:pt idx="123">
                  <c:v>1.0265408698962917</c:v>
                </c:pt>
                <c:pt idx="124">
                  <c:v>1.0406021017165465</c:v>
                </c:pt>
                <c:pt idx="125">
                  <c:v>1.0548071832873849</c:v>
                </c:pt>
                <c:pt idx="126">
                  <c:v>1.0691569392499032</c:v>
                </c:pt>
                <c:pt idx="127">
                  <c:v>1.083652205214638</c:v>
                </c:pt>
                <c:pt idx="128">
                  <c:v>1.0982938278922802</c:v>
                </c:pt>
                <c:pt idx="129">
                  <c:v>1.1130826652266685</c:v>
                </c:pt>
                <c:pt idx="130">
                  <c:v>1.1280195865301057</c:v>
                </c:pt>
                <c:pt idx="131">
                  <c:v>1.1431054726210317</c:v>
                </c:pt>
                <c:pt idx="132">
                  <c:v>1.1583412159641042</c:v>
                </c:pt>
                <c:pt idx="133">
                  <c:v>1.1737277208127312</c:v>
                </c:pt>
                <c:pt idx="134">
                  <c:v>1.1892659033540904</c:v>
                </c:pt>
                <c:pt idx="135">
                  <c:v>1.204956691856699</c:v>
                </c:pt>
                <c:pt idx="136">
                  <c:v>1.2208010268205616</c:v>
                </c:pt>
                <c:pt idx="137">
                  <c:v>1.2367998611299618</c:v>
                </c:pt>
                <c:pt idx="138">
                  <c:v>1.2529541602089349</c:v>
                </c:pt>
                <c:pt idx="139">
                  <c:v>1.2692649021794788</c:v>
                </c:pt>
                <c:pt idx="140">
                  <c:v>1.2857330780225498</c:v>
                </c:pt>
                <c:pt idx="141">
                  <c:v>1.3023596917419014</c:v>
                </c:pt>
                <c:pt idx="142">
                  <c:v>1.3191457605308161</c:v>
                </c:pt>
                <c:pt idx="143">
                  <c:v>1.3360923149417887</c:v>
                </c:pt>
                <c:pt idx="144">
                  <c:v>1.3532003990592121</c:v>
                </c:pt>
                <c:pt idx="145">
                  <c:v>1.3704710706751304</c:v>
                </c:pt>
                <c:pt idx="146">
                  <c:v>1.3879054014681131</c:v>
                </c:pt>
                <c:pt idx="147">
                  <c:v>1.4055044771853127</c:v>
                </c:pt>
                <c:pt idx="148">
                  <c:v>1.4232693978277713</c:v>
                </c:pt>
                <c:pt idx="149">
                  <c:v>1.4412012778390297</c:v>
                </c:pt>
                <c:pt idx="150">
                  <c:v>1.459301246297114</c:v>
                </c:pt>
                <c:pt idx="151">
                  <c:v>1.477570447109964</c:v>
                </c:pt>
                <c:pt idx="152">
                  <c:v>1.4960100392143616</c:v>
                </c:pt>
                <c:pt idx="153">
                  <c:v>1.5146211967784453</c:v>
                </c:pt>
                <c:pt idx="154">
                  <c:v>1.5334051094078662</c:v>
                </c:pt>
                <c:pt idx="155">
                  <c:v>1.5523629823556659</c:v>
                </c:pt>
                <c:pt idx="156">
                  <c:v>1.5714960367359538</c:v>
                </c:pt>
                <c:pt idx="157">
                  <c:v>1.5908055097414486</c:v>
                </c:pt>
                <c:pt idx="158">
                  <c:v>1.6102926548649765</c:v>
                </c:pt>
                <c:pt idx="159">
                  <c:v>1.6299587421249908</c:v>
                </c:pt>
                <c:pt idx="160">
                  <c:v>1.6498050582952095</c:v>
                </c:pt>
                <c:pt idx="161">
                  <c:v>1.6698329071384421</c:v>
                </c:pt>
                <c:pt idx="162">
                  <c:v>1.6900436096447007</c:v>
                </c:pt>
                <c:pt idx="163">
                  <c:v>1.7104385042736705</c:v>
                </c:pt>
                <c:pt idx="164">
                  <c:v>1.7310189472016579</c:v>
                </c:pt>
                <c:pt idx="165">
                  <c:v>1.7517863125730553</c:v>
                </c:pt>
                <c:pt idx="166">
                  <c:v>1.7727419927564807</c:v>
                </c:pt>
                <c:pt idx="167">
                  <c:v>1.7938873986056487</c:v>
                </c:pt>
                <c:pt idx="168">
                  <c:v>1.8152239597250657</c:v>
                </c:pt>
                <c:pt idx="169">
                  <c:v>1.8367531247406859</c:v>
                </c:pt>
                <c:pt idx="170">
                  <c:v>1.8584763615756004</c:v>
                </c:pt>
                <c:pt idx="171">
                  <c:v>1.8803951577308775</c:v>
                </c:pt>
                <c:pt idx="172">
                  <c:v>1.902511020571664</c:v>
                </c:pt>
                <c:pt idx="173">
                  <c:v>1.9248254776186597</c:v>
                </c:pt>
                <c:pt idx="174">
                  <c:v>1.9473400768450648</c:v>
                </c:pt>
                <c:pt idx="175">
                  <c:v>1.9700563869791514</c:v>
                </c:pt>
                <c:pt idx="176">
                  <c:v>1.9929759978125303</c:v>
                </c:pt>
                <c:pt idx="177">
                  <c:v>2.0161005205142848</c:v>
                </c:pt>
                <c:pt idx="178">
                  <c:v>2.039431587951066</c:v>
                </c:pt>
                <c:pt idx="179">
                  <c:v>2.0629708550132877</c:v>
                </c:pt>
                <c:pt idx="180">
                  <c:v>2.0867199989475598</c:v>
                </c:pt>
                <c:pt idx="181">
                  <c:v>2.1106807196954818</c:v>
                </c:pt>
                <c:pt idx="182">
                  <c:v>2.134854740238957</c:v>
                </c:pt>
                <c:pt idx="183">
                  <c:v>2.1592438069521456</c:v>
                </c:pt>
                <c:pt idx="184">
                  <c:v>2.1838496899602169</c:v>
                </c:pt>
                <c:pt idx="185">
                  <c:v>2.2086741835050603</c:v>
                </c:pt>
                <c:pt idx="186">
                  <c:v>2.2337191063180839</c:v>
                </c:pt>
                <c:pt idx="187">
                  <c:v>2.2589863020002796</c:v>
                </c:pt>
                <c:pt idx="188">
                  <c:v>2.2844776394097042</c:v>
                </c:pt>
                <c:pt idx="189">
                  <c:v>2.3101950130565654</c:v>
                </c:pt>
                <c:pt idx="190">
                  <c:v>2.3361403435060373</c:v>
                </c:pt>
                <c:pt idx="191">
                  <c:v>2.3623155777890337</c:v>
                </c:pt>
                <c:pt idx="192">
                  <c:v>2.3887226898210865</c:v>
                </c:pt>
                <c:pt idx="193">
                  <c:v>2.41536368082952</c:v>
                </c:pt>
                <c:pt idx="194">
                  <c:v>2.4422405797891078</c:v>
                </c:pt>
                <c:pt idx="195">
                  <c:v>2.4693554438664198</c:v>
                </c:pt>
                <c:pt idx="196">
                  <c:v>2.4967103588730386</c:v>
                </c:pt>
                <c:pt idx="197">
                  <c:v>2.5243074397278691</c:v>
                </c:pt>
                <c:pt idx="198">
                  <c:v>2.5521488309287315</c:v>
                </c:pt>
                <c:pt idx="199">
                  <c:v>2.5802367070334733</c:v>
                </c:pt>
                <c:pt idx="200">
                  <c:v>2.6085732731508071</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Calculations'!$AQ$9:$AQ$209</c:f>
              <c:numCache>
                <c:formatCode>0.00%</c:formatCode>
                <c:ptCount val="201"/>
                <c:pt idx="0">
                  <c:v>0</c:v>
                </c:pt>
                <c:pt idx="1">
                  <c:v>0.46314274926097521</c:v>
                </c:pt>
                <c:pt idx="2">
                  <c:v>0.63267937745199876</c:v>
                </c:pt>
                <c:pt idx="3">
                  <c:v>0.72052492013029779</c:v>
                </c:pt>
                <c:pt idx="4">
                  <c:v>0.77420674192028704</c:v>
                </c:pt>
                <c:pt idx="5">
                  <c:v>0.81037258455880168</c:v>
                </c:pt>
                <c:pt idx="6">
                  <c:v>0.83636518461018416</c:v>
                </c:pt>
                <c:pt idx="7">
                  <c:v>0.85592633701943566</c:v>
                </c:pt>
                <c:pt idx="8">
                  <c:v>0.87116323227264525</c:v>
                </c:pt>
                <c:pt idx="9">
                  <c:v>0.88335316728112689</c:v>
                </c:pt>
                <c:pt idx="10">
                  <c:v>0.89331547913192944</c:v>
                </c:pt>
                <c:pt idx="11">
                  <c:v>0.90159990561172232</c:v>
                </c:pt>
                <c:pt idx="12">
                  <c:v>0.90858904403303908</c:v>
                </c:pt>
                <c:pt idx="13">
                  <c:v>0.91455738447900914</c:v>
                </c:pt>
                <c:pt idx="14">
                  <c:v>0.91970697352588848</c:v>
                </c:pt>
                <c:pt idx="15">
                  <c:v>0.92418983359143747</c:v>
                </c:pt>
                <c:pt idx="16">
                  <c:v>0.92812254173735598</c:v>
                </c:pt>
                <c:pt idx="17">
                  <c:v>0.93159599075015698</c:v>
                </c:pt>
                <c:pt idx="18">
                  <c:v>0.93468209295269544</c:v>
                </c:pt>
                <c:pt idx="19">
                  <c:v>0.9374384884840975</c:v>
                </c:pt>
                <c:pt idx="20">
                  <c:v>0.93991191830572141</c:v>
                </c:pt>
                <c:pt idx="21">
                  <c:v>0.94214068379266513</c:v>
                </c:pt>
                <c:pt idx="22">
                  <c:v>0.94415646902807615</c:v>
                </c:pt>
                <c:pt idx="23">
                  <c:v>0.94598571047461422</c:v>
                </c:pt>
                <c:pt idx="24">
                  <c:v>0.94765063996918286</c:v>
                </c:pt>
                <c:pt idx="25">
                  <c:v>0.94917008846623208</c:v>
                </c:pt>
                <c:pt idx="26">
                  <c:v>0.95056011220037651</c:v>
                </c:pt>
                <c:pt idx="27">
                  <c:v>0.95183448541679516</c:v>
                </c:pt>
                <c:pt idx="28">
                  <c:v>0.95300509170433934</c:v>
                </c:pt>
                <c:pt idx="29">
                  <c:v>0.95408223746795884</c:v>
                </c:pt>
                <c:pt idx="30">
                  <c:v>0.95441786932014683</c:v>
                </c:pt>
                <c:pt idx="31">
                  <c:v>0.95427909917933018</c:v>
                </c:pt>
                <c:pt idx="32">
                  <c:v>0.95413443153693034</c:v>
                </c:pt>
                <c:pt idx="33">
                  <c:v>0.95401934112268805</c:v>
                </c:pt>
                <c:pt idx="34">
                  <c:v>0.95474885740238391</c:v>
                </c:pt>
                <c:pt idx="35">
                  <c:v>0.9554247207882931</c:v>
                </c:pt>
                <c:pt idx="36">
                  <c:v>0.95605124019957832</c:v>
                </c:pt>
                <c:pt idx="37">
                  <c:v>0.95663227221464475</c:v>
                </c:pt>
                <c:pt idx="38">
                  <c:v>0.95717127881378183</c:v>
                </c:pt>
                <c:pt idx="39">
                  <c:v>0.95767137649622547</c:v>
                </c:pt>
                <c:pt idx="40">
                  <c:v>0.95813537823833517</c:v>
                </c:pt>
                <c:pt idx="41">
                  <c:v>0.9585658294813173</c:v>
                </c:pt>
                <c:pt idx="42">
                  <c:v>0.95896503911667741</c:v>
                </c:pt>
                <c:pt idx="43">
                  <c:v>0.95933510626220875</c:v>
                </c:pt>
                <c:pt idx="44">
                  <c:v>0.95967794348091007</c:v>
                </c:pt>
                <c:pt idx="45">
                  <c:v>0.95999529698216823</c:v>
                </c:pt>
                <c:pt idx="46">
                  <c:v>0.96028876425306686</c:v>
                </c:pt>
                <c:pt idx="47">
                  <c:v>0.96055980949329645</c:v>
                </c:pt>
                <c:pt idx="48">
                  <c:v>0.96080977716637306</c:v>
                </c:pt>
                <c:pt idx="49">
                  <c:v>0.96103990393000416</c:v>
                </c:pt>
                <c:pt idx="50">
                  <c:v>0.96125132916734735</c:v>
                </c:pt>
                <c:pt idx="51">
                  <c:v>0.96144510430689845</c:v>
                </c:pt>
                <c:pt idx="52">
                  <c:v>0.96162220109050034</c:v>
                </c:pt>
                <c:pt idx="53">
                  <c:v>0.9617835189254057</c:v>
                </c:pt>
                <c:pt idx="54">
                  <c:v>0.96192989143661589</c:v>
                </c:pt>
                <c:pt idx="55">
                  <c:v>0.96206209231916262</c:v>
                </c:pt>
                <c:pt idx="56">
                  <c:v>0.96218084057605346</c:v>
                </c:pt>
                <c:pt idx="57">
                  <c:v>0.96228680521581111</c:v>
                </c:pt>
                <c:pt idx="58">
                  <c:v>0.96238060947354087</c:v>
                </c:pt>
                <c:pt idx="59">
                  <c:v>0.96246283461095861</c:v>
                </c:pt>
                <c:pt idx="60">
                  <c:v>0.96253402334356386</c:v>
                </c:pt>
                <c:pt idx="61">
                  <c:v>0.96259468293693806</c:v>
                </c:pt>
                <c:pt idx="62">
                  <c:v>0.96264528800883686</c:v>
                </c:pt>
                <c:pt idx="63">
                  <c:v>0.96268628306916604</c:v>
                </c:pt>
                <c:pt idx="64">
                  <c:v>0.9627180848260003</c:v>
                </c:pt>
                <c:pt idx="65">
                  <c:v>0.9627410842823898</c:v>
                </c:pt>
                <c:pt idx="66">
                  <c:v>0.96275564864576069</c:v>
                </c:pt>
                <c:pt idx="67">
                  <c:v>0.96276212306915077</c:v>
                </c:pt>
                <c:pt idx="68">
                  <c:v>0.9627608322412986</c:v>
                </c:pt>
                <c:pt idx="69">
                  <c:v>0.96275208184066308</c:v>
                </c:pt>
                <c:pt idx="70">
                  <c:v>0.9627361598667562</c:v>
                </c:pt>
                <c:pt idx="71">
                  <c:v>0.96271333786068825</c:v>
                </c:pt>
                <c:pt idx="72">
                  <c:v>0.9626838720255213</c:v>
                </c:pt>
                <c:pt idx="73">
                  <c:v>0.96264800425588848</c:v>
                </c:pt>
                <c:pt idx="74">
                  <c:v>0.96260596308532498</c:v>
                </c:pt>
                <c:pt idx="75">
                  <c:v>0.96255796455887377</c:v>
                </c:pt>
                <c:pt idx="76">
                  <c:v>0.96250421303774025</c:v>
                </c:pt>
                <c:pt idx="77">
                  <c:v>0.9624449019420821</c:v>
                </c:pt>
                <c:pt idx="78">
                  <c:v>0.96238021443740196</c:v>
                </c:pt>
                <c:pt idx="79">
                  <c:v>0.9623103240694646</c:v>
                </c:pt>
                <c:pt idx="80">
                  <c:v>0.96223539535217739</c:v>
                </c:pt>
                <c:pt idx="81">
                  <c:v>0.96215558431244064</c:v>
                </c:pt>
                <c:pt idx="82">
                  <c:v>0.96207103899558422</c:v>
                </c:pt>
                <c:pt idx="83">
                  <c:v>0.96198189993467076</c:v>
                </c:pt>
                <c:pt idx="84">
                  <c:v>0.96188830058663077</c:v>
                </c:pt>
                <c:pt idx="85">
                  <c:v>0.96179036773792392</c:v>
                </c:pt>
                <c:pt idx="86">
                  <c:v>0.96168822188217051</c:v>
                </c:pt>
                <c:pt idx="87">
                  <c:v>0.96158197757197783</c:v>
                </c:pt>
                <c:pt idx="88">
                  <c:v>0.96147174374698419</c:v>
                </c:pt>
                <c:pt idx="89">
                  <c:v>0.96135762403996661</c:v>
                </c:pt>
                <c:pt idx="90">
                  <c:v>0.96123971706269329</c:v>
                </c:pt>
                <c:pt idx="91">
                  <c:v>0.96111811667305613</c:v>
                </c:pt>
                <c:pt idx="92">
                  <c:v>0.96099291222489136</c:v>
                </c:pt>
                <c:pt idx="93">
                  <c:v>0.96086418880176894</c:v>
                </c:pt>
                <c:pt idx="94">
                  <c:v>0.960732027435931</c:v>
                </c:pt>
                <c:pt idx="95">
                  <c:v>0.96059650531345586</c:v>
                </c:pt>
                <c:pt idx="96">
                  <c:v>0.96045769596663988</c:v>
                </c:pt>
                <c:pt idx="97">
                  <c:v>0.96031566945450442</c:v>
                </c:pt>
                <c:pt idx="98">
                  <c:v>0.96017049253226494</c:v>
                </c:pt>
                <c:pt idx="99">
                  <c:v>0.96002222881053256</c:v>
                </c:pt>
                <c:pt idx="100">
                  <c:v>0.95987093890495212</c:v>
                </c:pt>
                <c:pt idx="101">
                  <c:v>0.95971668057693493</c:v>
                </c:pt>
                <c:pt idx="102">
                  <c:v>0.9595595088660841</c:v>
                </c:pt>
                <c:pt idx="103">
                  <c:v>0.95939947621486965</c:v>
                </c:pt>
                <c:pt idx="104">
                  <c:v>0.95923663258606706</c:v>
                </c:pt>
                <c:pt idx="105">
                  <c:v>0.95907102557343316</c:v>
                </c:pt>
                <c:pt idx="106">
                  <c:v>0.95890270050605952</c:v>
                </c:pt>
                <c:pt idx="107">
                  <c:v>0.95873170054680779</c:v>
                </c:pt>
                <c:pt idx="108">
                  <c:v>0.95855806678520716</c:v>
                </c:pt>
                <c:pt idx="109">
                  <c:v>0.95838183832515966</c:v>
                </c:pt>
                <c:pt idx="110">
                  <c:v>0.95820305236777958</c:v>
                </c:pt>
                <c:pt idx="111">
                  <c:v>0.95802174428966669</c:v>
                </c:pt>
                <c:pt idx="112">
                  <c:v>0.95783794771689446</c:v>
                </c:pt>
                <c:pt idx="113">
                  <c:v>0.95765169459497113</c:v>
                </c:pt>
                <c:pt idx="114">
                  <c:v>0.95746301525501631</c:v>
                </c:pt>
                <c:pt idx="115">
                  <c:v>0.95727193847637826</c:v>
                </c:pt>
                <c:pt idx="116">
                  <c:v>0.95707849154590185</c:v>
                </c:pt>
                <c:pt idx="117">
                  <c:v>0.95688270031404088</c:v>
                </c:pt>
                <c:pt idx="118">
                  <c:v>0.95668458924799804</c:v>
                </c:pt>
                <c:pt idx="119">
                  <c:v>0.95648418148206305</c:v>
                </c:pt>
                <c:pt idx="120">
                  <c:v>0.95628149886530589</c:v>
                </c:pt>
                <c:pt idx="121">
                  <c:v>0.95607656200677404</c:v>
                </c:pt>
                <c:pt idx="122">
                  <c:v>0.9558693903183324</c:v>
                </c:pt>
                <c:pt idx="123">
                  <c:v>0.95566000205527468</c:v>
                </c:pt>
                <c:pt idx="124">
                  <c:v>0.9554484143548283</c:v>
                </c:pt>
                <c:pt idx="125">
                  <c:v>0.95523464327266339</c:v>
                </c:pt>
                <c:pt idx="126">
                  <c:v>0.95501870381751586</c:v>
                </c:pt>
                <c:pt idx="127">
                  <c:v>0.95480060998402083</c:v>
                </c:pt>
                <c:pt idx="128">
                  <c:v>0.95458037478384927</c:v>
                </c:pt>
                <c:pt idx="129">
                  <c:v>0.95435801027523826</c:v>
                </c:pt>
                <c:pt idx="130">
                  <c:v>0.95413352759099135</c:v>
                </c:pt>
                <c:pt idx="131">
                  <c:v>0.95390693696503237</c:v>
                </c:pt>
                <c:pt idx="132">
                  <c:v>0.95367824775757792</c:v>
                </c:pt>
                <c:pt idx="133">
                  <c:v>0.95344746847900086</c:v>
                </c:pt>
                <c:pt idx="134">
                  <c:v>0.95321460681244519</c:v>
                </c:pt>
                <c:pt idx="135">
                  <c:v>0.9529796696352556</c:v>
                </c:pt>
                <c:pt idx="136">
                  <c:v>0.95274266303927224</c:v>
                </c:pt>
                <c:pt idx="137">
                  <c:v>0.95250359235004911</c:v>
                </c:pt>
                <c:pt idx="138">
                  <c:v>0.9522624621450394</c:v>
                </c:pt>
                <c:pt idx="139">
                  <c:v>0.95201927627080163</c:v>
                </c:pt>
                <c:pt idx="140">
                  <c:v>0.95177403785926185</c:v>
                </c:pt>
                <c:pt idx="141">
                  <c:v>0.95152674934308079</c:v>
                </c:pt>
                <c:pt idx="142">
                  <c:v>0.95127741247015751</c:v>
                </c:pt>
                <c:pt idx="143">
                  <c:v>0.95102602831731331</c:v>
                </c:pt>
                <c:pt idx="144">
                  <c:v>0.95077259730318142</c:v>
                </c:pt>
                <c:pt idx="145">
                  <c:v>0.95051711920034387</c:v>
                </c:pt>
                <c:pt idx="146">
                  <c:v>0.95025959314673636</c:v>
                </c:pt>
                <c:pt idx="147">
                  <c:v>0.95000001765635855</c:v>
                </c:pt>
                <c:pt idx="148">
                  <c:v>0.94973839062930798</c:v>
                </c:pt>
                <c:pt idx="149">
                  <c:v>0.94947470936116984</c:v>
                </c:pt>
                <c:pt idx="150">
                  <c:v>0.94920897055178033</c:v>
                </c:pt>
                <c:pt idx="151">
                  <c:v>0.94894117031339109</c:v>
                </c:pt>
                <c:pt idx="152">
                  <c:v>0.94867130417824974</c:v>
                </c:pt>
                <c:pt idx="153">
                  <c:v>0.94839936710562067</c:v>
                </c:pt>
                <c:pt idx="154">
                  <c:v>0.94812535348826188</c:v>
                </c:pt>
                <c:pt idx="155">
                  <c:v>0.94784925715837609</c:v>
                </c:pt>
                <c:pt idx="156">
                  <c:v>0.94757107139304997</c:v>
                </c:pt>
                <c:pt idx="157">
                  <c:v>0.9472907889191996</c:v>
                </c:pt>
                <c:pt idx="158">
                  <c:v>0.94700840191803315</c:v>
                </c:pt>
                <c:pt idx="159">
                  <c:v>0.94672390202904577</c:v>
                </c:pt>
                <c:pt idx="160">
                  <c:v>0.94643728035355701</c:v>
                </c:pt>
                <c:pt idx="161">
                  <c:v>0.94614852745780353</c:v>
                </c:pt>
                <c:pt idx="162">
                  <c:v>0.94585763337559614</c:v>
                </c:pt>
                <c:pt idx="163">
                  <c:v>0.94556458761055229</c:v>
                </c:pt>
                <c:pt idx="164">
                  <c:v>0.94526937913791031</c:v>
                </c:pt>
                <c:pt idx="165">
                  <c:v>0.94497199640593632</c:v>
                </c:pt>
                <c:pt idx="166">
                  <c:v>0.94467242733692902</c:v>
                </c:pt>
                <c:pt idx="167">
                  <c:v>0.94437065932783038</c:v>
                </c:pt>
                <c:pt idx="168">
                  <c:v>0.94406667925044696</c:v>
                </c:pt>
                <c:pt idx="169">
                  <c:v>0.94376047345128899</c:v>
                </c:pt>
                <c:pt idx="170">
                  <c:v>0.94345202775102965</c:v>
                </c:pt>
                <c:pt idx="171">
                  <c:v>0.94314132744359114</c:v>
                </c:pt>
                <c:pt idx="172">
                  <c:v>0.94282835729486025</c:v>
                </c:pt>
                <c:pt idx="173">
                  <c:v>0.9425131015410344</c:v>
                </c:pt>
                <c:pt idx="174">
                  <c:v>0.94219554388660431</c:v>
                </c:pt>
                <c:pt idx="175">
                  <c:v>0.94187566750197327</c:v>
                </c:pt>
                <c:pt idx="176">
                  <c:v>0.94155345502071286</c:v>
                </c:pt>
                <c:pt idx="177">
                  <c:v>0.94122888853646036</c:v>
                </c:pt>
                <c:pt idx="178">
                  <c:v>0.94090194959945195</c:v>
                </c:pt>
                <c:pt idx="179">
                  <c:v>0.9405726192126993</c:v>
                </c:pt>
                <c:pt idx="180">
                  <c:v>0.94024087782780097</c:v>
                </c:pt>
                <c:pt idx="181">
                  <c:v>0.93990670534039378</c:v>
                </c:pt>
                <c:pt idx="182">
                  <c:v>0.93957008108523843</c:v>
                </c:pt>
                <c:pt idx="183">
                  <c:v>0.93923098383093995</c:v>
                </c:pt>
                <c:pt idx="184">
                  <c:v>0.93888939177429798</c:v>
                </c:pt>
                <c:pt idx="185">
                  <c:v>0.93854528253428626</c:v>
                </c:pt>
                <c:pt idx="186">
                  <c:v>0.93819863314565477</c:v>
                </c:pt>
                <c:pt idx="187">
                  <c:v>0.93784942005215377</c:v>
                </c:pt>
                <c:pt idx="188">
                  <c:v>0.9374976190993719</c:v>
                </c:pt>
                <c:pt idx="189">
                  <c:v>0.93714320552718533</c:v>
                </c:pt>
                <c:pt idx="190">
                  <c:v>0.93678615396181153</c:v>
                </c:pt>
                <c:pt idx="191">
                  <c:v>0.93642643840746176</c:v>
                </c:pt>
                <c:pt idx="192">
                  <c:v>0.93606403223758461</c:v>
                </c:pt>
                <c:pt idx="193">
                  <c:v>0.93569890818569468</c:v>
                </c:pt>
                <c:pt idx="194">
                  <c:v>0.93533103833577824</c:v>
                </c:pt>
                <c:pt idx="195">
                  <c:v>0.93496039411226617</c:v>
                </c:pt>
                <c:pt idx="196">
                  <c:v>0.93458694626956751</c:v>
                </c:pt>
                <c:pt idx="197">
                  <c:v>0.93421066488115179</c:v>
                </c:pt>
                <c:pt idx="198">
                  <c:v>0.9338315193281711</c:v>
                </c:pt>
                <c:pt idx="199">
                  <c:v>0.93344947828761216</c:v>
                </c:pt>
                <c:pt idx="200">
                  <c:v>0.93306450971996391</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40"/>
</file>

<file path=xl/ctrlProps/ctrlProp5.xml><?xml version="1.0" encoding="utf-8"?>
<formControlPr xmlns="http://schemas.microsoft.com/office/spreadsheetml/2009/9/main" objectType="Spin" dx="16" fmlaLink="$E$67" max="100" min="1" page="10" val="8"/>
</file>

<file path=xl/ctrlProps/ctrlProp6.xml><?xml version="1.0" encoding="utf-8"?>
<formControlPr xmlns="http://schemas.microsoft.com/office/spreadsheetml/2009/9/main" objectType="Spin" dx="16" fmlaLink="$E$68" max="100" min="1" page="10" val="10"/>
</file>

<file path=xl/ctrlProps/ctrlProp7.xml><?xml version="1.0" encoding="utf-8"?>
<formControlPr xmlns="http://schemas.microsoft.com/office/spreadsheetml/2009/9/main" objectType="Spin" dx="16" fmlaLink="$E$69" inc="10" max="1000" min="100" page="10" val="1000"/>
</file>

<file path=xl/ctrlProps/ctrlProp8.xml><?xml version="1.0" encoding="utf-8"?>
<formControlPr xmlns="http://schemas.microsoft.com/office/spreadsheetml/2009/9/main" objectType="Spin" dx="16" fmlaLink="$E$70" inc="10" max="1000" min="100" page="10" val="128"/>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74</xdr:row>
          <xdr:rowOff>9525</xdr:rowOff>
        </xdr:from>
        <xdr:to>
          <xdr:col>3</xdr:col>
          <xdr:colOff>9525</xdr:colOff>
          <xdr:row>77</xdr:row>
          <xdr:rowOff>19050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390525</xdr:colOff>
          <xdr:row>74</xdr:row>
          <xdr:rowOff>9525</xdr:rowOff>
        </xdr:from>
        <xdr:to>
          <xdr:col>3</xdr:col>
          <xdr:colOff>9525</xdr:colOff>
          <xdr:row>77</xdr:row>
          <xdr:rowOff>19050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900" b="1" i="0" u="none" strike="noStrike" baseline="0">
                  <a:solidFill>
                    <a:srgbClr val="000000"/>
                  </a:solidFill>
                  <a:latin typeface="Arial"/>
                  <a:cs typeface="Arial"/>
                </a:rPr>
                <a:t>FIX</a:t>
              </a:r>
            </a:p>
            <a:p>
              <a:pPr algn="ctr" rtl="0">
                <a:defRPr sz="1000"/>
              </a:pPr>
              <a:r>
                <a:rPr lang="en-GB"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1695450</xdr:colOff>
          <xdr:row>0</xdr:row>
          <xdr:rowOff>447675</xdr:rowOff>
        </xdr:from>
        <xdr:to>
          <xdr:col>16</xdr:col>
          <xdr:colOff>2076450</xdr:colOff>
          <xdr:row>1</xdr:row>
          <xdr:rowOff>28575</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188"/>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28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63°</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18nF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22Ω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1800pF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10.5kΩ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499Ω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32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47nF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12.6V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20A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39.2kΩ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14.7kΩ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402kΩ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161925</xdr:rowOff>
        </xdr:from>
        <xdr:to>
          <xdr:col>5</xdr:col>
          <xdr:colOff>180975</xdr:colOff>
          <xdr:row>61</xdr:row>
          <xdr:rowOff>9525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180975</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180975</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180975</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180975</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9525</xdr:colOff>
          <xdr:row>23</xdr:row>
          <xdr:rowOff>0</xdr:rowOff>
        </xdr:from>
        <xdr:to>
          <xdr:col>1</xdr:col>
          <xdr:colOff>523875</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93.3%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96%</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10pF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7.2V to 25.2V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0</xdr:row>
      <xdr:rowOff>631297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171450</xdr:rowOff>
        </xdr:from>
        <xdr:to>
          <xdr:col>6</xdr:col>
          <xdr:colOff>0</xdr:colOff>
          <xdr:row>4</xdr:row>
          <xdr:rowOff>238125</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108</xdr:row>
          <xdr:rowOff>0</xdr:rowOff>
        </xdr:from>
        <xdr:to>
          <xdr:col>2</xdr:col>
          <xdr:colOff>200025</xdr:colOff>
          <xdr:row>109</xdr:row>
          <xdr:rowOff>19050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63°</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200025</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200025</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200025</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200025</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200025</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200025</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200025</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200025</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200025</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200025</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200025</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200025</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200025</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200025</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200025</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200025</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200025</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200025</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200025</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200025</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200025</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200025</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200025</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48</xdr:row>
          <xdr:rowOff>9525</xdr:rowOff>
        </xdr:from>
        <xdr:to>
          <xdr:col>6</xdr:col>
          <xdr:colOff>638175</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49</xdr:row>
          <xdr:rowOff>0</xdr:rowOff>
        </xdr:from>
        <xdr:to>
          <xdr:col>6</xdr:col>
          <xdr:colOff>638175</xdr:colOff>
          <xdr:row>49</xdr:row>
          <xdr:rowOff>200025</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06"/>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18nF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1000pF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22Ω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1800pF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10.5kΩ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499Ω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32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47nF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12.6V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20A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39.2kΩ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14.7kΩ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402kΩ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10pF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7.2V to 25.2V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219075</xdr:colOff>
          <xdr:row>10</xdr:row>
          <xdr:rowOff>114300</xdr:rowOff>
        </xdr:from>
        <xdr:to>
          <xdr:col>16</xdr:col>
          <xdr:colOff>28575</xdr:colOff>
          <xdr:row>31</xdr:row>
          <xdr:rowOff>123825</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11" zoomScale="115" zoomScaleNormal="115" zoomScaleSheetLayoutView="100" workbookViewId="0">
      <selection activeCell="D76" sqref="D76"/>
    </sheetView>
  </sheetViews>
  <sheetFormatPr defaultColWidth="9.140625" defaultRowHeight="12.75" x14ac:dyDescent="0.2"/>
  <cols>
    <col min="1" max="1" width="8.28515625" style="276" customWidth="1"/>
    <col min="2" max="2" width="8.28515625" style="123" customWidth="1"/>
    <col min="3" max="3" width="14.5703125" style="123" customWidth="1"/>
    <col min="4" max="4" width="8" style="123" customWidth="1"/>
    <col min="5" max="5" width="7" style="123" customWidth="1"/>
    <col min="6" max="6" width="8.28515625" style="123" customWidth="1"/>
    <col min="7" max="7" width="9.140625" style="123" customWidth="1"/>
    <col min="8" max="8" width="11.85546875" style="123" customWidth="1"/>
    <col min="9" max="9" width="9.140625" style="123"/>
    <col min="10" max="10" width="12.42578125" style="123" bestFit="1" customWidth="1"/>
    <col min="11" max="11" width="9.140625" style="123"/>
    <col min="12" max="12" width="12.42578125" style="123" bestFit="1" customWidth="1"/>
    <col min="13" max="15" width="9.140625" style="123"/>
    <col min="16" max="16" width="10.140625" style="123" customWidth="1"/>
    <col min="17" max="17" width="41.85546875" style="123" customWidth="1"/>
    <col min="18" max="18" width="3.140625" style="123" customWidth="1"/>
    <col min="19" max="19" width="10" style="123" bestFit="1" customWidth="1"/>
    <col min="20" max="16384" width="9.140625" style="123"/>
  </cols>
  <sheetData>
    <row r="1" spans="1:18" ht="50.25" customHeight="1" x14ac:dyDescent="0.2">
      <c r="A1" s="516" t="s">
        <v>750</v>
      </c>
      <c r="B1" s="517"/>
      <c r="C1" s="517"/>
      <c r="D1" s="517"/>
      <c r="E1" s="517"/>
      <c r="F1" s="517"/>
      <c r="G1" s="517"/>
      <c r="H1" s="517"/>
      <c r="I1" s="517"/>
      <c r="J1" s="517"/>
      <c r="K1" s="517"/>
      <c r="L1" s="517"/>
      <c r="M1" s="517"/>
      <c r="N1" s="517"/>
      <c r="O1" s="517"/>
      <c r="P1" s="517"/>
      <c r="Q1" s="517"/>
      <c r="R1" s="365"/>
    </row>
    <row r="2" spans="1:18" ht="13.5" customHeight="1" x14ac:dyDescent="0.45">
      <c r="A2" s="491"/>
      <c r="B2" s="369"/>
      <c r="C2" s="369"/>
      <c r="D2" s="369"/>
      <c r="E2" s="369"/>
      <c r="F2" s="369"/>
      <c r="G2" s="369"/>
      <c r="H2" s="369"/>
      <c r="I2" s="369"/>
      <c r="J2" s="369"/>
      <c r="K2" s="369"/>
      <c r="L2" s="369"/>
      <c r="M2" s="480"/>
      <c r="N2" s="485"/>
      <c r="O2" s="486"/>
      <c r="P2" s="485"/>
      <c r="Q2" s="485"/>
      <c r="R2" s="365"/>
    </row>
    <row r="3" spans="1:18" ht="14.25" customHeight="1" x14ac:dyDescent="0.45">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35">
      <c r="A4" s="376"/>
      <c r="B4" s="377"/>
      <c r="C4" s="378"/>
      <c r="D4" s="378"/>
      <c r="E4" s="378"/>
      <c r="F4" s="378"/>
      <c r="G4" s="378"/>
      <c r="H4" s="378"/>
      <c r="I4" s="378"/>
      <c r="J4" s="378"/>
      <c r="K4" s="378"/>
      <c r="L4" s="378"/>
      <c r="M4" s="482"/>
      <c r="N4" s="487"/>
      <c r="O4" s="487"/>
      <c r="P4" s="487"/>
      <c r="Q4" s="488"/>
      <c r="R4" s="365"/>
    </row>
    <row r="5" spans="1:18" ht="20.100000000000001" customHeight="1" thickBot="1" x14ac:dyDescent="0.35">
      <c r="A5" s="214" t="s">
        <v>441</v>
      </c>
      <c r="B5" s="176"/>
      <c r="C5" s="124"/>
      <c r="D5" s="124"/>
      <c r="E5" s="126"/>
      <c r="F5" s="124"/>
      <c r="G5" s="160"/>
      <c r="H5" s="127"/>
      <c r="I5" s="127"/>
      <c r="J5" s="127"/>
      <c r="K5" s="127"/>
      <c r="L5" s="127"/>
      <c r="M5" s="483"/>
      <c r="N5" s="483"/>
      <c r="O5" s="483"/>
      <c r="P5" s="483"/>
      <c r="Q5" s="484"/>
      <c r="R5" s="365"/>
    </row>
    <row r="6" spans="1:18" ht="14.1" customHeight="1" x14ac:dyDescent="0.25">
      <c r="A6" s="271"/>
      <c r="B6" s="224"/>
      <c r="C6" s="225"/>
      <c r="D6" s="226" t="s">
        <v>571</v>
      </c>
      <c r="E6" s="227">
        <v>7.2</v>
      </c>
      <c r="F6" s="228" t="s">
        <v>0</v>
      </c>
      <c r="G6" s="186"/>
      <c r="H6" s="184"/>
      <c r="I6" s="127"/>
      <c r="J6" s="127"/>
      <c r="K6" s="127"/>
      <c r="L6" s="127"/>
      <c r="M6" s="127"/>
      <c r="N6" s="127"/>
      <c r="O6" s="127"/>
      <c r="P6" s="127"/>
      <c r="Q6" s="159"/>
      <c r="R6" s="365"/>
    </row>
    <row r="7" spans="1:18" ht="14.1" customHeight="1" x14ac:dyDescent="0.25">
      <c r="A7" s="382"/>
      <c r="B7" s="184"/>
      <c r="C7" s="181"/>
      <c r="D7" s="219" t="s">
        <v>572</v>
      </c>
      <c r="E7" s="185">
        <v>12.6</v>
      </c>
      <c r="F7" s="229" t="s">
        <v>0</v>
      </c>
      <c r="G7" s="186"/>
      <c r="H7" s="184"/>
      <c r="I7" s="127"/>
      <c r="J7" s="127"/>
      <c r="K7" s="127"/>
      <c r="L7" s="127"/>
      <c r="M7" s="127"/>
      <c r="N7" s="127"/>
      <c r="O7" s="127"/>
      <c r="P7" s="127"/>
      <c r="Q7" s="159"/>
      <c r="R7" s="365"/>
    </row>
    <row r="8" spans="1:18" ht="14.1" customHeight="1" x14ac:dyDescent="0.25">
      <c r="A8" s="382"/>
      <c r="B8" s="184"/>
      <c r="C8" s="181"/>
      <c r="D8" s="219" t="s">
        <v>573</v>
      </c>
      <c r="E8" s="185">
        <v>25.2</v>
      </c>
      <c r="F8" s="229" t="s">
        <v>0</v>
      </c>
      <c r="G8" s="186"/>
      <c r="H8" s="184"/>
      <c r="I8" s="127"/>
      <c r="J8" s="127"/>
      <c r="K8" s="127"/>
      <c r="L8" s="127"/>
      <c r="M8" s="127"/>
      <c r="N8" s="127"/>
      <c r="O8" s="127"/>
      <c r="P8" s="127"/>
      <c r="Q8" s="159"/>
      <c r="R8" s="365"/>
    </row>
    <row r="9" spans="1:18" ht="14.1" customHeight="1" x14ac:dyDescent="0.25">
      <c r="A9" s="183"/>
      <c r="B9" s="184"/>
      <c r="C9" s="181"/>
      <c r="D9" s="219" t="s">
        <v>566</v>
      </c>
      <c r="E9" s="185">
        <v>5</v>
      </c>
      <c r="F9" s="229" t="s">
        <v>0</v>
      </c>
      <c r="G9" s="186"/>
      <c r="H9" s="184"/>
      <c r="I9" s="127"/>
      <c r="J9" s="127"/>
      <c r="K9" s="127"/>
      <c r="L9" s="127"/>
      <c r="M9" s="127"/>
      <c r="N9" s="127"/>
      <c r="O9" s="127"/>
      <c r="P9" s="127"/>
      <c r="Q9" s="159"/>
      <c r="R9" s="365"/>
    </row>
    <row r="10" spans="1:18" ht="14.1" customHeight="1" x14ac:dyDescent="0.25">
      <c r="A10" s="183"/>
      <c r="B10" s="184"/>
      <c r="C10" s="181"/>
      <c r="D10" s="219" t="s">
        <v>565</v>
      </c>
      <c r="E10" s="185">
        <v>20</v>
      </c>
      <c r="F10" s="229" t="s">
        <v>2</v>
      </c>
      <c r="G10" s="186"/>
      <c r="H10" s="184"/>
      <c r="I10" s="127"/>
      <c r="J10" s="127"/>
      <c r="K10" s="127"/>
      <c r="L10" s="127"/>
      <c r="M10" s="127"/>
      <c r="N10" s="127"/>
      <c r="O10" s="127"/>
      <c r="P10" s="127"/>
      <c r="Q10" s="159"/>
      <c r="R10" s="365"/>
    </row>
    <row r="11" spans="1:18" ht="14.1" customHeight="1" x14ac:dyDescent="0.25">
      <c r="A11" s="183"/>
      <c r="B11" s="184"/>
      <c r="C11" s="181"/>
      <c r="D11" s="219" t="s">
        <v>624</v>
      </c>
      <c r="E11" s="187">
        <v>256</v>
      </c>
      <c r="F11" s="229" t="s">
        <v>3</v>
      </c>
      <c r="G11" s="186"/>
      <c r="H11" s="184"/>
      <c r="I11" s="127"/>
      <c r="J11" s="127"/>
      <c r="K11" s="127"/>
      <c r="L11" s="127"/>
      <c r="M11" s="127"/>
      <c r="N11" s="127"/>
      <c r="O11" s="127"/>
      <c r="P11" s="127"/>
      <c r="Q11" s="159"/>
      <c r="R11" s="365"/>
    </row>
    <row r="12" spans="1:18" ht="14.1" customHeight="1" x14ac:dyDescent="0.25">
      <c r="A12" s="183"/>
      <c r="B12" s="184"/>
      <c r="C12" s="181"/>
      <c r="D12" s="219" t="s">
        <v>625</v>
      </c>
      <c r="E12" s="187">
        <v>256</v>
      </c>
      <c r="F12" s="229" t="s">
        <v>3</v>
      </c>
      <c r="G12" s="188"/>
      <c r="H12" s="184"/>
      <c r="I12" s="127"/>
      <c r="J12" s="127"/>
      <c r="K12" s="127"/>
      <c r="L12" s="127"/>
      <c r="M12" s="127"/>
      <c r="N12" s="127"/>
      <c r="O12" s="127"/>
      <c r="P12" s="127"/>
      <c r="Q12" s="159"/>
      <c r="R12" s="365"/>
    </row>
    <row r="13" spans="1:18" ht="15.95" customHeight="1" thickBot="1" x14ac:dyDescent="0.35">
      <c r="A13" s="230"/>
      <c r="B13" s="231"/>
      <c r="C13" s="182"/>
      <c r="D13" s="182" t="s">
        <v>568</v>
      </c>
      <c r="E13" s="182">
        <f>'Standard Value Calculator'!S4/1000</f>
        <v>39.200000000000003</v>
      </c>
      <c r="F13" s="232" t="s">
        <v>116</v>
      </c>
      <c r="G13" s="186"/>
      <c r="H13" s="184"/>
      <c r="I13" s="127"/>
      <c r="J13" s="127"/>
      <c r="K13" s="127"/>
      <c r="L13" s="127"/>
      <c r="M13" s="127"/>
      <c r="N13" s="127"/>
      <c r="O13" s="127"/>
      <c r="P13" s="127"/>
      <c r="Q13" s="159"/>
      <c r="R13" s="365"/>
    </row>
    <row r="14" spans="1:18" ht="14.1" customHeight="1" x14ac:dyDescent="0.2">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2">
      <c r="A16" s="271"/>
      <c r="B16" s="224"/>
      <c r="C16" s="225"/>
      <c r="D16" s="225" t="s">
        <v>461</v>
      </c>
      <c r="E16" s="460">
        <f>Lout1*1000000</f>
        <v>1.7688819772153106</v>
      </c>
      <c r="F16" s="233" t="s">
        <v>413</v>
      </c>
      <c r="G16" s="186"/>
      <c r="H16" s="184"/>
      <c r="I16" s="127"/>
      <c r="J16" s="127"/>
      <c r="K16" s="127"/>
      <c r="L16" s="127"/>
      <c r="M16" s="127"/>
      <c r="N16" s="127"/>
      <c r="O16" s="127"/>
      <c r="P16" s="127"/>
      <c r="Q16" s="159"/>
      <c r="R16" s="365"/>
    </row>
    <row r="17" spans="1:19" ht="14.1" customHeight="1" x14ac:dyDescent="0.25">
      <c r="A17" s="183"/>
      <c r="B17" s="184"/>
      <c r="C17" s="181"/>
      <c r="D17" s="219" t="s">
        <v>567</v>
      </c>
      <c r="E17" s="185">
        <v>1.8</v>
      </c>
      <c r="F17" s="229" t="s">
        <v>413</v>
      </c>
      <c r="G17" s="186"/>
      <c r="H17" s="184"/>
      <c r="I17" s="127"/>
      <c r="J17" s="127"/>
      <c r="K17" s="127"/>
      <c r="L17" s="127"/>
      <c r="M17" s="127"/>
      <c r="N17" s="127"/>
      <c r="O17" s="127"/>
      <c r="P17" s="127"/>
      <c r="Q17" s="159"/>
      <c r="R17" s="365"/>
    </row>
    <row r="18" spans="1:19" ht="14.1" customHeight="1" x14ac:dyDescent="0.2">
      <c r="A18" s="183"/>
      <c r="B18" s="184"/>
      <c r="C18" s="181"/>
      <c r="D18" s="219" t="s">
        <v>462</v>
      </c>
      <c r="E18" s="185">
        <v>5</v>
      </c>
      <c r="F18" s="229" t="s">
        <v>115</v>
      </c>
      <c r="G18" s="186"/>
      <c r="H18" s="184"/>
      <c r="I18" s="127"/>
      <c r="J18" s="127"/>
      <c r="K18" s="127"/>
      <c r="L18" s="127"/>
      <c r="M18" s="127"/>
      <c r="N18" s="127"/>
      <c r="O18" s="127"/>
      <c r="P18" s="127"/>
      <c r="Q18" s="159"/>
      <c r="R18" s="365"/>
    </row>
    <row r="19" spans="1:19" ht="15" customHeight="1" x14ac:dyDescent="0.3">
      <c r="A19" s="183"/>
      <c r="B19" s="184"/>
      <c r="C19" s="181"/>
      <c r="D19" s="381" t="s">
        <v>570</v>
      </c>
      <c r="E19" s="216">
        <f>Iripple1</f>
        <v>6.8328373015872996</v>
      </c>
      <c r="F19" s="234" t="s">
        <v>446</v>
      </c>
      <c r="G19" s="186"/>
      <c r="H19" s="184"/>
      <c r="I19" s="127"/>
      <c r="J19" s="127"/>
      <c r="K19" s="127"/>
      <c r="L19" s="127"/>
      <c r="M19" s="127"/>
      <c r="N19" s="127"/>
      <c r="O19" s="127"/>
      <c r="P19" s="127"/>
      <c r="Q19" s="159"/>
      <c r="R19" s="365"/>
    </row>
    <row r="20" spans="1:19" ht="15" customHeight="1" x14ac:dyDescent="0.3">
      <c r="A20" s="382"/>
      <c r="B20" s="184"/>
      <c r="C20" s="181"/>
      <c r="D20" s="181" t="s">
        <v>548</v>
      </c>
      <c r="E20" s="217">
        <f>Iripple1/Iout*100</f>
        <v>34.164186507936499</v>
      </c>
      <c r="F20" s="234" t="s">
        <v>300</v>
      </c>
      <c r="G20" s="186"/>
      <c r="H20" s="184"/>
      <c r="I20" s="127"/>
      <c r="J20" s="127"/>
      <c r="K20" s="127"/>
      <c r="L20" s="127"/>
      <c r="M20" s="127"/>
      <c r="N20" s="127"/>
      <c r="O20" s="127"/>
      <c r="P20" s="127"/>
      <c r="Q20" s="159"/>
      <c r="R20" s="365"/>
    </row>
    <row r="21" spans="1:19" ht="15" customHeight="1" thickBot="1" x14ac:dyDescent="0.2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2">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2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2">
      <c r="A25" s="183"/>
      <c r="B25" s="184"/>
      <c r="C25" s="184"/>
      <c r="D25" s="219" t="s">
        <v>463</v>
      </c>
      <c r="E25" s="185">
        <v>20</v>
      </c>
      <c r="F25" s="229" t="s">
        <v>2</v>
      </c>
      <c r="G25" s="186"/>
      <c r="H25" s="184"/>
      <c r="I25" s="127"/>
      <c r="J25" s="127"/>
      <c r="K25" s="127"/>
      <c r="L25" s="127"/>
      <c r="M25" s="127"/>
      <c r="N25" s="127"/>
      <c r="O25" s="127"/>
      <c r="P25" s="127"/>
      <c r="Q25" s="159"/>
      <c r="R25" s="365"/>
    </row>
    <row r="26" spans="1:19" ht="15" customHeight="1" x14ac:dyDescent="0.3">
      <c r="A26" s="184"/>
      <c r="B26" s="184"/>
      <c r="C26" s="184"/>
      <c r="D26" s="181" t="s">
        <v>588</v>
      </c>
      <c r="E26" s="217">
        <f>IF(RDSON_sense=1, Rilim_Rdson, Rilim_shunt)</f>
        <v>499</v>
      </c>
      <c r="F26" s="234" t="s">
        <v>274</v>
      </c>
      <c r="G26" s="188"/>
      <c r="H26" s="184"/>
      <c r="I26" s="127"/>
      <c r="J26" s="127"/>
      <c r="K26" s="127"/>
      <c r="L26" s="127"/>
      <c r="M26" s="127"/>
      <c r="N26" s="127"/>
      <c r="O26" s="127"/>
      <c r="P26" s="127"/>
      <c r="Q26" s="159"/>
      <c r="R26" s="365"/>
    </row>
    <row r="27" spans="1:19" ht="14.1" customHeight="1" x14ac:dyDescent="0.3">
      <c r="A27" s="183"/>
      <c r="B27" s="184"/>
      <c r="C27" s="184"/>
      <c r="D27" s="181" t="s">
        <v>569</v>
      </c>
      <c r="E27" s="216">
        <f>'Variable Management'!B51</f>
        <v>27.599999999999998</v>
      </c>
      <c r="F27" s="234" t="s">
        <v>2</v>
      </c>
      <c r="G27" s="184"/>
      <c r="H27" s="184"/>
      <c r="I27" s="127"/>
      <c r="J27" s="127"/>
      <c r="K27" s="127"/>
      <c r="L27" s="127"/>
      <c r="M27" s="127"/>
      <c r="N27" s="127"/>
      <c r="O27" s="127"/>
      <c r="P27" s="127"/>
      <c r="Q27" s="159"/>
      <c r="R27" s="365"/>
    </row>
    <row r="28" spans="1:19" ht="14.1" customHeight="1" thickBot="1" x14ac:dyDescent="0.35">
      <c r="A28" s="230"/>
      <c r="B28" s="231"/>
      <c r="C28" s="231"/>
      <c r="D28" s="399" t="s">
        <v>596</v>
      </c>
      <c r="E28" s="400">
        <f>_Rs3</f>
        <v>1.54</v>
      </c>
      <c r="F28" s="257" t="s">
        <v>208</v>
      </c>
      <c r="G28" s="184"/>
      <c r="H28" s="184"/>
      <c r="I28" s="127"/>
      <c r="J28" s="127"/>
      <c r="K28" s="127"/>
      <c r="L28" s="127"/>
      <c r="M28" s="127"/>
      <c r="N28" s="127"/>
      <c r="O28" s="127"/>
      <c r="P28" s="127"/>
      <c r="Q28" s="159"/>
      <c r="R28" s="365"/>
    </row>
    <row r="29" spans="1:19" ht="14.1" customHeight="1" x14ac:dyDescent="0.2">
      <c r="A29" s="277"/>
      <c r="B29" s="170"/>
      <c r="C29" s="170"/>
      <c r="D29" s="170"/>
      <c r="E29" s="170"/>
      <c r="F29" s="170"/>
      <c r="G29" s="184"/>
      <c r="H29" s="184"/>
      <c r="I29" s="127"/>
      <c r="J29" s="127"/>
      <c r="K29" s="127"/>
      <c r="L29" s="127"/>
      <c r="M29" s="127"/>
      <c r="N29" s="127"/>
      <c r="O29" s="127"/>
      <c r="P29" s="127"/>
      <c r="Q29" s="159"/>
      <c r="R29" s="365"/>
    </row>
    <row r="30" spans="1:19" ht="19.5"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25">
      <c r="A31" s="250"/>
      <c r="B31" s="236"/>
      <c r="C31" s="225"/>
      <c r="D31" s="237" t="s">
        <v>464</v>
      </c>
      <c r="E31" s="238">
        <v>200</v>
      </c>
      <c r="F31" s="228" t="s">
        <v>447</v>
      </c>
      <c r="G31" s="184"/>
      <c r="H31" s="184"/>
      <c r="I31" s="127"/>
      <c r="J31" s="127"/>
      <c r="K31" s="127"/>
      <c r="L31" s="127"/>
      <c r="M31" s="127"/>
      <c r="N31" s="127"/>
      <c r="O31" s="127"/>
      <c r="P31" s="127"/>
      <c r="Q31" s="159"/>
      <c r="R31" s="365"/>
    </row>
    <row r="32" spans="1:19" ht="14.1" customHeight="1" x14ac:dyDescent="0.2">
      <c r="A32" s="183"/>
      <c r="B32" s="184"/>
      <c r="C32" s="181"/>
      <c r="D32" s="181" t="s">
        <v>465</v>
      </c>
      <c r="E32" s="217">
        <f>Coutmin*1000000</f>
        <v>16.681731693328366</v>
      </c>
      <c r="F32" s="234" t="s">
        <v>414</v>
      </c>
      <c r="G32" s="184"/>
      <c r="H32" s="184"/>
      <c r="I32" s="127"/>
      <c r="J32" s="127"/>
      <c r="K32" s="127"/>
      <c r="L32" s="127"/>
      <c r="M32" s="127"/>
      <c r="N32" s="127"/>
      <c r="O32" s="127"/>
      <c r="P32" s="127"/>
      <c r="Q32" s="159"/>
      <c r="R32" s="365"/>
    </row>
    <row r="33" spans="1:18" ht="14.1" customHeight="1" x14ac:dyDescent="0.25">
      <c r="A33" s="183"/>
      <c r="B33" s="184"/>
      <c r="C33" s="181"/>
      <c r="D33" s="180" t="s">
        <v>738</v>
      </c>
      <c r="E33" s="185">
        <v>100</v>
      </c>
      <c r="F33" s="229" t="s">
        <v>414</v>
      </c>
      <c r="G33" s="186"/>
      <c r="H33" s="184"/>
      <c r="I33" s="127"/>
      <c r="J33" s="127"/>
      <c r="K33" s="127"/>
      <c r="L33" s="127"/>
      <c r="M33" s="127"/>
      <c r="N33" s="127"/>
      <c r="O33" s="127"/>
      <c r="P33" s="127"/>
      <c r="Q33" s="159"/>
      <c r="R33" s="365"/>
    </row>
    <row r="34" spans="1:18" ht="14.1" customHeight="1" x14ac:dyDescent="0.2">
      <c r="A34" s="183"/>
      <c r="B34" s="184"/>
      <c r="C34" s="181"/>
      <c r="D34" s="181" t="s">
        <v>466</v>
      </c>
      <c r="E34" s="218">
        <f>IF(ISERROR(Resrmax*1000),"N/A",Resrmax*1000)</f>
        <v>28.86027508875739</v>
      </c>
      <c r="F34" s="234" t="s">
        <v>115</v>
      </c>
      <c r="G34" s="186"/>
      <c r="H34" s="184"/>
      <c r="I34" s="127"/>
      <c r="J34" s="127"/>
      <c r="K34" s="127"/>
      <c r="L34" s="127"/>
      <c r="M34" s="127"/>
      <c r="N34" s="127"/>
      <c r="O34" s="127"/>
      <c r="P34" s="127"/>
      <c r="Q34" s="159"/>
      <c r="R34" s="365"/>
    </row>
    <row r="35" spans="1:18" ht="14.1" customHeight="1" x14ac:dyDescent="0.2">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
      <c r="A36" s="183"/>
      <c r="B36" s="184"/>
      <c r="C36" s="184"/>
      <c r="D36" s="181" t="s">
        <v>468</v>
      </c>
      <c r="E36" s="217">
        <f>Vripple2*1000</f>
        <v>34.055959166388895</v>
      </c>
      <c r="F36" s="234" t="s">
        <v>457</v>
      </c>
      <c r="G36" s="186"/>
      <c r="H36" s="184"/>
      <c r="I36" s="127"/>
      <c r="J36" s="127"/>
      <c r="K36" s="127"/>
      <c r="L36" s="127"/>
      <c r="M36" s="127"/>
      <c r="N36" s="127"/>
      <c r="O36" s="127"/>
      <c r="P36" s="127"/>
      <c r="Q36" s="159"/>
      <c r="R36" s="365"/>
    </row>
    <row r="37" spans="1:18" ht="14.1" customHeight="1" thickBot="1" x14ac:dyDescent="0.25">
      <c r="A37" s="230"/>
      <c r="B37" s="231"/>
      <c r="C37" s="231"/>
      <c r="D37" s="182" t="s">
        <v>469</v>
      </c>
      <c r="E37" s="235">
        <f>Icoutrms</f>
        <v>1.972470227700172</v>
      </c>
      <c r="F37" s="232" t="s">
        <v>282</v>
      </c>
      <c r="G37" s="188"/>
      <c r="H37" s="184"/>
      <c r="I37" s="127"/>
      <c r="J37" s="127"/>
      <c r="K37" s="161"/>
      <c r="L37" s="127"/>
      <c r="M37" s="127"/>
      <c r="N37" s="127"/>
      <c r="O37" s="127"/>
      <c r="P37" s="127"/>
      <c r="Q37" s="159"/>
      <c r="R37" s="365"/>
    </row>
    <row r="38" spans="1:18" ht="14.1" customHeight="1" x14ac:dyDescent="0.2">
      <c r="A38" s="272"/>
      <c r="B38" s="194"/>
      <c r="C38" s="194"/>
      <c r="D38" s="194"/>
      <c r="E38" s="194"/>
      <c r="F38" s="194"/>
      <c r="G38" s="184"/>
      <c r="H38" s="184"/>
      <c r="I38" s="127"/>
      <c r="J38" s="127"/>
      <c r="K38" s="127"/>
      <c r="L38" s="127"/>
      <c r="M38" s="127"/>
      <c r="N38" s="127"/>
      <c r="O38" s="127"/>
      <c r="P38" s="127"/>
      <c r="Q38" s="159"/>
      <c r="R38" s="365"/>
    </row>
    <row r="39" spans="1:18" ht="19.5"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25">
      <c r="A40" s="250"/>
      <c r="B40" s="236"/>
      <c r="C40" s="224"/>
      <c r="D40" s="226" t="s">
        <v>470</v>
      </c>
      <c r="E40" s="238">
        <v>500</v>
      </c>
      <c r="F40" s="228" t="s">
        <v>447</v>
      </c>
      <c r="G40" s="184"/>
      <c r="H40" s="184"/>
      <c r="I40" s="127"/>
      <c r="J40" s="163"/>
      <c r="K40" s="127"/>
      <c r="L40" s="127"/>
      <c r="M40" s="127"/>
      <c r="N40" s="127"/>
      <c r="O40" s="127"/>
      <c r="P40" s="127"/>
      <c r="Q40" s="159"/>
      <c r="R40" s="365"/>
    </row>
    <row r="41" spans="1:18" ht="14.1" customHeight="1" x14ac:dyDescent="0.2">
      <c r="A41" s="195"/>
      <c r="B41" s="192"/>
      <c r="C41" s="184"/>
      <c r="D41" s="181" t="s">
        <v>471</v>
      </c>
      <c r="E41" s="217">
        <f>'Variable Management'!B80*1000000</f>
        <v>37.914540816326536</v>
      </c>
      <c r="F41" s="234" t="s">
        <v>414</v>
      </c>
      <c r="G41" s="184"/>
      <c r="H41" s="184"/>
      <c r="I41" s="127"/>
      <c r="J41" s="163"/>
      <c r="K41" s="127"/>
      <c r="L41" s="127"/>
      <c r="M41" s="127"/>
      <c r="N41" s="127"/>
      <c r="O41" s="127"/>
      <c r="P41" s="127"/>
      <c r="Q41" s="159"/>
      <c r="R41" s="365"/>
    </row>
    <row r="42" spans="1:18" ht="14.1" customHeight="1" x14ac:dyDescent="0.25">
      <c r="A42" s="183"/>
      <c r="B42" s="184"/>
      <c r="C42" s="192"/>
      <c r="D42" s="219" t="s">
        <v>739</v>
      </c>
      <c r="E42" s="185">
        <v>150</v>
      </c>
      <c r="F42" s="229" t="s">
        <v>414</v>
      </c>
      <c r="G42" s="184"/>
      <c r="H42" s="184"/>
      <c r="I42" s="127"/>
      <c r="J42" s="163"/>
      <c r="K42" s="127"/>
      <c r="L42" s="127"/>
      <c r="M42" s="127"/>
      <c r="N42" s="127"/>
      <c r="O42" s="127"/>
      <c r="P42" s="127"/>
      <c r="Q42" s="159"/>
      <c r="R42" s="365"/>
    </row>
    <row r="43" spans="1:18" ht="14.1" customHeight="1" x14ac:dyDescent="0.2">
      <c r="A43" s="183"/>
      <c r="B43" s="184"/>
      <c r="C43" s="192"/>
      <c r="D43" s="181" t="s">
        <v>466</v>
      </c>
      <c r="E43" s="218">
        <f>IF(CinEsrMax*1000&lt;0,"N/A",CinEsrMax*1000)</f>
        <v>15.955394496939803</v>
      </c>
      <c r="F43" s="234" t="s">
        <v>115</v>
      </c>
      <c r="G43" s="184"/>
      <c r="H43" s="184"/>
      <c r="I43" s="127"/>
      <c r="J43" s="164"/>
      <c r="K43" s="127"/>
      <c r="L43" s="127"/>
      <c r="M43" s="127"/>
      <c r="N43" s="127"/>
      <c r="O43" s="127"/>
      <c r="P43" s="127"/>
      <c r="Q43" s="159" t="s">
        <v>343</v>
      </c>
      <c r="R43" s="365"/>
    </row>
    <row r="44" spans="1:18" ht="14.1" customHeight="1" x14ac:dyDescent="0.2">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
      <c r="A45" s="183"/>
      <c r="B45" s="184"/>
      <c r="C45" s="192"/>
      <c r="D45" s="181" t="s">
        <v>473</v>
      </c>
      <c r="E45" s="217">
        <f>Vinripple2*1000</f>
        <v>173.21464002267575</v>
      </c>
      <c r="F45" s="234" t="s">
        <v>457</v>
      </c>
      <c r="G45" s="184"/>
      <c r="H45" s="184"/>
      <c r="I45" s="127"/>
      <c r="J45" s="164"/>
      <c r="K45" s="127"/>
      <c r="L45" s="127"/>
      <c r="M45" s="127"/>
      <c r="N45" s="127"/>
      <c r="O45" s="127"/>
      <c r="P45" s="127"/>
      <c r="Q45" s="159"/>
      <c r="R45" s="365"/>
    </row>
    <row r="46" spans="1:18" ht="14.1" customHeight="1" thickBot="1" x14ac:dyDescent="0.25">
      <c r="A46" s="230"/>
      <c r="B46" s="231"/>
      <c r="C46" s="231"/>
      <c r="D46" s="182" t="s">
        <v>474</v>
      </c>
      <c r="E46" s="235">
        <f>Icinrms</f>
        <v>9.8519655140380955</v>
      </c>
      <c r="F46" s="232" t="s">
        <v>282</v>
      </c>
      <c r="G46" s="184"/>
      <c r="H46" s="184"/>
      <c r="I46" s="127"/>
      <c r="J46" s="127"/>
      <c r="K46" s="127"/>
      <c r="L46" s="127"/>
      <c r="M46" s="127"/>
      <c r="N46" s="127"/>
      <c r="O46" s="127"/>
      <c r="P46" s="127"/>
      <c r="Q46" s="159"/>
      <c r="R46" s="365"/>
    </row>
    <row r="47" spans="1:18" ht="14.1" customHeight="1" x14ac:dyDescent="0.2">
      <c r="A47" s="183"/>
      <c r="B47" s="184"/>
      <c r="C47" s="184"/>
      <c r="D47" s="181"/>
      <c r="E47" s="184"/>
      <c r="F47" s="184"/>
      <c r="G47" s="184"/>
      <c r="H47" s="184"/>
      <c r="I47" s="127"/>
      <c r="J47" s="127"/>
      <c r="K47" s="127"/>
      <c r="L47" s="127"/>
      <c r="M47" s="127"/>
      <c r="N47" s="127"/>
      <c r="O47" s="127"/>
      <c r="P47" s="127"/>
      <c r="Q47" s="159"/>
      <c r="R47" s="365"/>
    </row>
    <row r="48" spans="1:18" ht="19.5"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25">
      <c r="A49" s="271"/>
      <c r="B49" s="224"/>
      <c r="C49" s="224"/>
      <c r="D49" s="239" t="s">
        <v>616</v>
      </c>
      <c r="E49" s="227">
        <v>4</v>
      </c>
      <c r="F49" s="228" t="s">
        <v>291</v>
      </c>
      <c r="G49" s="184"/>
      <c r="H49" s="194"/>
      <c r="I49" s="170"/>
      <c r="J49" s="170"/>
      <c r="K49" s="170"/>
      <c r="L49" s="170"/>
      <c r="M49" s="170"/>
      <c r="N49" s="127"/>
      <c r="O49" s="127"/>
      <c r="P49" s="127"/>
      <c r="Q49" s="159"/>
      <c r="R49" s="365"/>
    </row>
    <row r="50" spans="1:35" ht="14.1" customHeight="1" x14ac:dyDescent="0.3">
      <c r="A50" s="183"/>
      <c r="B50" s="184"/>
      <c r="C50" s="184"/>
      <c r="D50" s="181" t="s">
        <v>617</v>
      </c>
      <c r="E50" s="218">
        <f>Css_u*1000000000</f>
        <v>47</v>
      </c>
      <c r="F50" s="234" t="s">
        <v>278</v>
      </c>
      <c r="G50" s="184"/>
      <c r="H50" s="194"/>
      <c r="I50" s="170"/>
      <c r="J50" s="170"/>
      <c r="K50" s="170"/>
      <c r="L50" s="170"/>
      <c r="M50" s="170"/>
      <c r="N50" s="127"/>
      <c r="O50" s="127"/>
      <c r="P50" s="127"/>
      <c r="Q50" s="159"/>
      <c r="R50" s="365"/>
    </row>
    <row r="51" spans="1:35" ht="14.1" customHeight="1" x14ac:dyDescent="0.2">
      <c r="A51" s="183"/>
      <c r="B51" s="184"/>
      <c r="C51" s="192"/>
      <c r="D51" s="180" t="s">
        <v>614</v>
      </c>
      <c r="E51" s="308">
        <v>34</v>
      </c>
      <c r="F51" s="229" t="s">
        <v>0</v>
      </c>
      <c r="G51" s="184"/>
      <c r="H51" s="184"/>
      <c r="I51" s="127"/>
      <c r="J51" s="125"/>
      <c r="K51" s="179"/>
      <c r="L51" s="127"/>
      <c r="M51" s="170"/>
      <c r="N51" s="127"/>
      <c r="O51" s="127"/>
      <c r="P51" s="127"/>
      <c r="Q51" s="159"/>
      <c r="R51" s="365"/>
    </row>
    <row r="52" spans="1:35" ht="14.1" customHeight="1" x14ac:dyDescent="0.2">
      <c r="A52" s="183"/>
      <c r="B52" s="184"/>
      <c r="C52" s="192"/>
      <c r="D52" s="180" t="s">
        <v>615</v>
      </c>
      <c r="E52" s="308">
        <v>30</v>
      </c>
      <c r="F52" s="229" t="s">
        <v>0</v>
      </c>
      <c r="G52" s="184"/>
      <c r="H52" s="184"/>
      <c r="I52" s="127"/>
      <c r="J52" s="125"/>
      <c r="K52" s="179"/>
      <c r="L52" s="127"/>
      <c r="M52" s="170"/>
      <c r="N52" s="127"/>
      <c r="O52" s="127"/>
      <c r="P52" s="127"/>
      <c r="Q52" s="159"/>
      <c r="R52" s="365"/>
    </row>
    <row r="53" spans="1:35" ht="14.1" customHeight="1" x14ac:dyDescent="0.3">
      <c r="A53" s="183"/>
      <c r="B53" s="184"/>
      <c r="C53" s="184"/>
      <c r="D53" s="181" t="s">
        <v>597</v>
      </c>
      <c r="E53" s="181">
        <f>'Variable Management'!F97</f>
        <v>402</v>
      </c>
      <c r="F53" s="234" t="s">
        <v>116</v>
      </c>
      <c r="G53" s="184"/>
      <c r="H53" s="184"/>
      <c r="I53" s="127"/>
      <c r="J53" s="125"/>
      <c r="K53" s="179"/>
      <c r="L53" s="127"/>
      <c r="M53" s="170"/>
      <c r="N53" s="127"/>
      <c r="O53" s="127"/>
      <c r="P53" s="127"/>
      <c r="Q53" s="159"/>
      <c r="R53" s="365"/>
    </row>
    <row r="54" spans="1:35" ht="14.1" customHeight="1" thickBot="1" x14ac:dyDescent="0.35">
      <c r="A54" s="230"/>
      <c r="B54" s="231"/>
      <c r="C54" s="231"/>
      <c r="D54" s="182" t="s">
        <v>598</v>
      </c>
      <c r="E54" s="182">
        <f>'Variable Management'!F98</f>
        <v>14.700000000000001</v>
      </c>
      <c r="F54" s="232" t="s">
        <v>116</v>
      </c>
      <c r="G54" s="184"/>
      <c r="H54" s="184"/>
      <c r="I54" s="127"/>
      <c r="J54" s="125"/>
      <c r="K54" s="179"/>
      <c r="L54" s="127"/>
      <c r="M54" s="170"/>
      <c r="N54" s="127"/>
      <c r="O54" s="127"/>
      <c r="P54" s="127"/>
      <c r="Q54" s="159"/>
      <c r="R54" s="365"/>
    </row>
    <row r="55" spans="1:35" ht="14.1" customHeight="1" x14ac:dyDescent="0.2">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2">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2">
      <c r="A57" s="277"/>
      <c r="B57" s="184"/>
      <c r="C57" s="184"/>
      <c r="D57" s="181"/>
      <c r="E57" s="197"/>
      <c r="F57" s="184"/>
      <c r="G57" s="184"/>
      <c r="H57" s="184"/>
      <c r="I57" s="127"/>
      <c r="J57" s="125"/>
      <c r="K57" s="179"/>
      <c r="L57" s="127"/>
      <c r="M57" s="170"/>
      <c r="N57" s="127"/>
      <c r="O57" s="127"/>
      <c r="P57" s="127"/>
      <c r="Q57" s="159"/>
      <c r="R57" s="365"/>
    </row>
    <row r="58" spans="1:35" ht="24.95" customHeight="1" thickBot="1" x14ac:dyDescent="0.2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2">
      <c r="A59" s="271"/>
      <c r="B59" s="224"/>
      <c r="C59" s="225"/>
      <c r="D59" s="225" t="s">
        <v>475</v>
      </c>
      <c r="E59" s="241">
        <f>Fo/1000</f>
        <v>11.956860900053853</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2">
      <c r="A60" s="183"/>
      <c r="B60" s="184"/>
      <c r="C60" s="181"/>
      <c r="D60" s="181" t="s">
        <v>476</v>
      </c>
      <c r="E60" s="217">
        <f>Fesr/1000</f>
        <v>1591.5494327375638</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2">
      <c r="A61" s="183"/>
      <c r="B61" s="184"/>
      <c r="C61" s="181"/>
      <c r="D61" s="180" t="s">
        <v>485</v>
      </c>
      <c r="E61" s="220">
        <v>40</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2">
      <c r="A62" s="183"/>
      <c r="B62" s="184"/>
      <c r="C62" s="181"/>
      <c r="D62" s="181" t="s">
        <v>477</v>
      </c>
      <c r="E62" s="215">
        <f>Kmidband</f>
        <v>0.22302397669062587</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5" customHeight="1" x14ac:dyDescent="0.25">
      <c r="A63" s="183"/>
      <c r="B63" s="184"/>
      <c r="C63" s="181"/>
      <c r="D63" s="180" t="s">
        <v>599</v>
      </c>
      <c r="E63" s="221">
        <v>10.5</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5" customHeight="1" x14ac:dyDescent="0.3">
      <c r="A64" s="382"/>
      <c r="B64" s="184"/>
      <c r="C64" s="181"/>
      <c r="D64" s="181" t="s">
        <v>600</v>
      </c>
      <c r="E64" s="181">
        <f>IF(Vout=Vref,"OPEN",Rfb2_u/1000)</f>
        <v>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5" customHeight="1" thickBot="1" x14ac:dyDescent="0.35">
      <c r="A65" s="230"/>
      <c r="B65" s="280"/>
      <c r="C65" s="280"/>
      <c r="D65" s="399" t="s">
        <v>707</v>
      </c>
      <c r="E65" s="490">
        <f>'Variable Management'!B129</f>
        <v>5</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3.5" thickBot="1" x14ac:dyDescent="0.2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5" customHeight="1" x14ac:dyDescent="0.2">
      <c r="A67" s="348" t="s">
        <v>736</v>
      </c>
      <c r="B67" s="278"/>
      <c r="C67" s="278"/>
      <c r="D67" s="281" t="s">
        <v>537</v>
      </c>
      <c r="E67" s="282">
        <f>Fo/1000*0.7</f>
        <v>8.3698026300376966</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5" customHeight="1" x14ac:dyDescent="0.2">
      <c r="A68" s="355" t="str">
        <f>" Baseline P/Z Frequencies:"</f>
        <v xml:space="preserve"> Baseline P/Z Frequencies:</v>
      </c>
      <c r="B68" s="170"/>
      <c r="C68" s="170"/>
      <c r="D68" s="203" t="s">
        <v>538</v>
      </c>
      <c r="E68" s="222">
        <f>Fo/1000*0.9</f>
        <v>10.761174810048468</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5" customHeight="1" x14ac:dyDescent="0.2">
      <c r="A69" s="277"/>
      <c r="B69" s="170"/>
      <c r="C69" s="170"/>
      <c r="D69" s="206" t="s">
        <v>535</v>
      </c>
      <c r="E69" s="223">
        <f>Fesr/1000</f>
        <v>1591.5494327375638</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5" customHeight="1" thickBot="1" x14ac:dyDescent="0.25">
      <c r="A70" s="279"/>
      <c r="B70" s="280"/>
      <c r="C70" s="280"/>
      <c r="D70" s="267" t="s">
        <v>536</v>
      </c>
      <c r="E70" s="268">
        <f>Fsw/2000</f>
        <v>128</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2">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2">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2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4.25" x14ac:dyDescent="0.25">
      <c r="A74" s="248" t="s">
        <v>448</v>
      </c>
      <c r="B74" s="264">
        <f>Rcea1/1000</f>
        <v>2.3417517552515714</v>
      </c>
      <c r="C74" s="242">
        <f>'Standard Value Calculator'!S27</f>
        <v>2.3199999999999998</v>
      </c>
      <c r="D74" s="243">
        <v>1</v>
      </c>
      <c r="E74" s="244" t="s">
        <v>116</v>
      </c>
      <c r="F74" s="246">
        <f>Fz1_u/1000</f>
        <v>8.8419412929864674</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4.25" x14ac:dyDescent="0.25">
      <c r="A75" s="249" t="s">
        <v>450</v>
      </c>
      <c r="B75" s="265">
        <f>Cc1ea*1000000000000</f>
        <v>8120.1501670283878</v>
      </c>
      <c r="C75" s="205">
        <f>'Standard Value Calculator'!S28</f>
        <v>8200</v>
      </c>
      <c r="D75" s="212">
        <v>18000</v>
      </c>
      <c r="E75" s="245" t="s">
        <v>53</v>
      </c>
      <c r="F75" s="247">
        <f>Fz2_u/1000</f>
        <v>8.4032895770637381</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4.25" x14ac:dyDescent="0.25">
      <c r="A76" s="249" t="s">
        <v>452</v>
      </c>
      <c r="B76" s="265">
        <f>Cc2ea*1000000000000</f>
        <v>568.11788092360189</v>
      </c>
      <c r="C76" s="205">
        <f>'Standard Value Calculator'!S29</f>
        <v>560</v>
      </c>
      <c r="D76" s="212">
        <v>1000</v>
      </c>
      <c r="E76" s="245" t="s">
        <v>53</v>
      </c>
      <c r="F76" s="423">
        <f>Fp1_u/1000</f>
        <v>4019.0642240847569</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149999999999999" customHeight="1" x14ac:dyDescent="0.25">
      <c r="A77" s="249" t="s">
        <v>454</v>
      </c>
      <c r="B77" s="265">
        <f>Rcea2</f>
        <v>71.478475968468388</v>
      </c>
      <c r="C77" s="205">
        <f>'Standard Value Calculator'!S30</f>
        <v>71.5</v>
      </c>
      <c r="D77" s="212">
        <v>22</v>
      </c>
      <c r="E77" s="245" t="s">
        <v>274</v>
      </c>
      <c r="F77" s="423">
        <f>Fp2_u/1000</f>
        <v>167.99688456674286</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3">
      <c r="A78" s="274" t="s">
        <v>456</v>
      </c>
      <c r="B78" s="266">
        <f>Cc3ea*1000000000000</f>
        <v>1399.0225539239734</v>
      </c>
      <c r="C78" s="258">
        <f>'Standard Value Calculator'!S31</f>
        <v>1500</v>
      </c>
      <c r="D78" s="259">
        <v>1800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3.5" thickBot="1" x14ac:dyDescent="0.2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75" thickBot="1" x14ac:dyDescent="0.3">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2">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8.75"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2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2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5" customHeight="1" x14ac:dyDescent="0.2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5" customHeight="1" x14ac:dyDescent="0.25">
      <c r="A86" s="183"/>
      <c r="B86" s="184"/>
      <c r="C86" s="192"/>
      <c r="D86" s="180" t="s">
        <v>550</v>
      </c>
      <c r="E86" s="185">
        <v>11.5</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5" customHeight="1" x14ac:dyDescent="0.25">
      <c r="A87" s="183"/>
      <c r="B87" s="184"/>
      <c r="C87" s="192"/>
      <c r="D87" s="180" t="s">
        <v>551</v>
      </c>
      <c r="E87" s="185">
        <v>2.9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5" customHeight="1" x14ac:dyDescent="0.25">
      <c r="A88" s="183"/>
      <c r="B88" s="184"/>
      <c r="C88" s="192"/>
      <c r="D88" s="180" t="s">
        <v>552</v>
      </c>
      <c r="E88" s="185">
        <v>3.3</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5" customHeight="1" x14ac:dyDescent="0.25">
      <c r="A89" s="183"/>
      <c r="B89" s="184"/>
      <c r="C89" s="192"/>
      <c r="D89" s="180" t="s">
        <v>725</v>
      </c>
      <c r="E89" s="185">
        <v>280</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5" customHeight="1" x14ac:dyDescent="0.25">
      <c r="A90" s="183"/>
      <c r="B90" s="184"/>
      <c r="C90" s="192"/>
      <c r="D90" s="180" t="s">
        <v>553</v>
      </c>
      <c r="E90" s="185">
        <v>1.5</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5" customHeight="1" x14ac:dyDescent="0.2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5" customHeight="1" x14ac:dyDescent="0.25">
      <c r="A92" s="183"/>
      <c r="B92" s="184"/>
      <c r="C92" s="192"/>
      <c r="D92" s="180" t="s">
        <v>772</v>
      </c>
      <c r="E92" s="185">
        <v>3.2</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5" customHeight="1" x14ac:dyDescent="0.2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5" customHeight="1" thickBot="1" x14ac:dyDescent="0.3">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2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2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5" customHeight="1" x14ac:dyDescent="0.2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5" customHeight="1" x14ac:dyDescent="0.25">
      <c r="A98" s="183"/>
      <c r="B98" s="184"/>
      <c r="C98" s="184"/>
      <c r="D98" s="180" t="s">
        <v>550</v>
      </c>
      <c r="E98" s="185">
        <v>11.5</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5" customHeight="1" x14ac:dyDescent="0.2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5" customHeight="1" x14ac:dyDescent="0.25">
      <c r="A100" s="183"/>
      <c r="B100" s="184"/>
      <c r="C100" s="184"/>
      <c r="D100" s="180" t="s">
        <v>725</v>
      </c>
      <c r="E100" s="185">
        <v>280</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25">
      <c r="A101" s="183"/>
      <c r="B101" s="184"/>
      <c r="C101" s="184"/>
      <c r="D101" s="180" t="s">
        <v>558</v>
      </c>
      <c r="E101" s="185">
        <v>0.9</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5" customHeight="1" x14ac:dyDescent="0.25">
      <c r="A102" s="183"/>
      <c r="B102" s="184"/>
      <c r="C102" s="184"/>
      <c r="D102" s="180" t="s">
        <v>556</v>
      </c>
      <c r="E102" s="185">
        <v>63</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5" customHeight="1" x14ac:dyDescent="0.2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2">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5" customHeight="1" x14ac:dyDescent="0.2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5" customHeight="1" thickBot="1" x14ac:dyDescent="0.3">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5" customHeight="1" x14ac:dyDescent="0.2">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2">
      <c r="A109" s="271"/>
      <c r="B109" s="252"/>
      <c r="C109" s="507"/>
      <c r="D109" s="507" t="s">
        <v>769</v>
      </c>
      <c r="E109" s="508">
        <f>'Power Calculations'!AN9</f>
        <v>6.9360000000000005E-2</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5" customHeight="1" thickBot="1" x14ac:dyDescent="0.25">
      <c r="A110" s="289"/>
      <c r="B110" s="255"/>
      <c r="C110" s="255"/>
      <c r="D110" s="509" t="s">
        <v>770</v>
      </c>
      <c r="E110" s="510">
        <f>'Power Calculations'!AN9*50</f>
        <v>3.4680000000000004</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149999999999999" customHeight="1" thickBot="1" x14ac:dyDescent="0.2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3.5" thickBot="1" x14ac:dyDescent="0.2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2">
      <c r="R113" s="85"/>
      <c r="S113" s="85"/>
      <c r="T113" s="85"/>
      <c r="W113" s="85"/>
      <c r="X113" s="85"/>
      <c r="Y113" s="85"/>
      <c r="AB113" s="85"/>
      <c r="AC113" s="85"/>
      <c r="AD113" s="85"/>
      <c r="AG113" s="85"/>
      <c r="AH113" s="85"/>
      <c r="AI113" s="85"/>
    </row>
    <row r="114" spans="18:35" x14ac:dyDescent="0.2">
      <c r="R114" s="85"/>
      <c r="S114" s="85"/>
      <c r="T114" s="85"/>
      <c r="W114" s="85"/>
      <c r="X114" s="85"/>
      <c r="Y114" s="85"/>
      <c r="AB114" s="85"/>
      <c r="AC114" s="85"/>
      <c r="AD114" s="85"/>
      <c r="AG114" s="85"/>
      <c r="AH114" s="85"/>
      <c r="AI114" s="85"/>
    </row>
    <row r="115" spans="18:35" x14ac:dyDescent="0.2">
      <c r="R115" s="85"/>
      <c r="S115" s="85"/>
      <c r="T115" s="85"/>
      <c r="W115" s="85"/>
      <c r="X115" s="85"/>
      <c r="Y115" s="85"/>
      <c r="AB115" s="85"/>
      <c r="AC115" s="85"/>
      <c r="AD115" s="85"/>
      <c r="AG115" s="85"/>
      <c r="AH115" s="85"/>
      <c r="AI115" s="85"/>
    </row>
    <row r="116" spans="18:35" x14ac:dyDescent="0.2">
      <c r="R116" s="85"/>
      <c r="S116" s="85"/>
      <c r="T116" s="85"/>
      <c r="W116" s="85"/>
      <c r="X116" s="85"/>
      <c r="Y116" s="85"/>
      <c r="AB116" s="85"/>
      <c r="AC116" s="85"/>
      <c r="AD116" s="85"/>
      <c r="AG116" s="85"/>
      <c r="AH116" s="85"/>
      <c r="AI116" s="85"/>
    </row>
    <row r="117" spans="18:35" x14ac:dyDescent="0.2">
      <c r="R117" s="85"/>
      <c r="S117" s="85"/>
      <c r="T117" s="85"/>
      <c r="W117" s="85"/>
      <c r="X117" s="85"/>
      <c r="Y117" s="85"/>
      <c r="AB117" s="85"/>
      <c r="AC117" s="85"/>
      <c r="AD117" s="85"/>
      <c r="AG117" s="85"/>
      <c r="AH117" s="85"/>
      <c r="AI117" s="85"/>
    </row>
    <row r="118" spans="18:35" x14ac:dyDescent="0.2">
      <c r="R118" s="85"/>
      <c r="S118" s="85"/>
      <c r="T118" s="85"/>
      <c r="W118" s="85"/>
      <c r="X118" s="85"/>
      <c r="Y118" s="85"/>
      <c r="AB118" s="85"/>
      <c r="AC118" s="85"/>
      <c r="AD118" s="85"/>
      <c r="AG118" s="85"/>
      <c r="AH118" s="85"/>
      <c r="AI118" s="85"/>
    </row>
    <row r="119" spans="18:35" x14ac:dyDescent="0.2">
      <c r="R119" s="85"/>
      <c r="S119" s="85"/>
      <c r="T119" s="85"/>
      <c r="W119" s="85"/>
      <c r="X119" s="85"/>
      <c r="Y119" s="85"/>
      <c r="AB119" s="85"/>
      <c r="AC119" s="85"/>
      <c r="AD119" s="85"/>
      <c r="AG119" s="85"/>
      <c r="AH119" s="85"/>
      <c r="AI119" s="85"/>
    </row>
    <row r="120" spans="18:35" x14ac:dyDescent="0.2">
      <c r="R120" s="85"/>
      <c r="S120" s="85"/>
      <c r="T120" s="85"/>
      <c r="W120" s="85"/>
      <c r="X120" s="85"/>
      <c r="Y120" s="85"/>
      <c r="AB120" s="85"/>
      <c r="AC120" s="85"/>
      <c r="AD120" s="85"/>
      <c r="AG120" s="85"/>
      <c r="AH120" s="85"/>
      <c r="AI120" s="85"/>
    </row>
    <row r="121" spans="18:35" x14ac:dyDescent="0.2">
      <c r="R121" s="85"/>
      <c r="S121" s="85"/>
      <c r="T121" s="85"/>
      <c r="W121" s="85"/>
      <c r="X121" s="85"/>
      <c r="Y121" s="85"/>
      <c r="AB121" s="85"/>
      <c r="AC121" s="85"/>
      <c r="AD121" s="85"/>
      <c r="AG121" s="85"/>
      <c r="AH121" s="85"/>
      <c r="AI121" s="85"/>
    </row>
    <row r="122" spans="18:35" x14ac:dyDescent="0.2">
      <c r="R122" s="85"/>
      <c r="S122" s="85"/>
      <c r="T122" s="85"/>
      <c r="W122" s="85"/>
      <c r="X122" s="85"/>
      <c r="Y122" s="85"/>
      <c r="AB122" s="85"/>
      <c r="AC122" s="85"/>
      <c r="AD122" s="85"/>
      <c r="AG122" s="85"/>
      <c r="AH122" s="85"/>
      <c r="AI122" s="85"/>
    </row>
    <row r="123" spans="18:35" x14ac:dyDescent="0.2">
      <c r="R123" s="85"/>
      <c r="S123" s="85"/>
      <c r="T123" s="85"/>
      <c r="W123" s="85"/>
      <c r="X123" s="85"/>
      <c r="Y123" s="85"/>
      <c r="AB123" s="85"/>
      <c r="AC123" s="85"/>
      <c r="AD123" s="85"/>
      <c r="AG123" s="85"/>
      <c r="AH123" s="85"/>
      <c r="AI123" s="85"/>
    </row>
    <row r="124" spans="18:35" x14ac:dyDescent="0.2">
      <c r="R124" s="85"/>
      <c r="S124" s="85"/>
      <c r="T124" s="85"/>
      <c r="W124" s="85"/>
      <c r="X124" s="85"/>
      <c r="Y124" s="85"/>
      <c r="AB124" s="85"/>
      <c r="AC124" s="85"/>
      <c r="AD124" s="85"/>
      <c r="AG124" s="85"/>
      <c r="AH124" s="85"/>
      <c r="AI124" s="85"/>
    </row>
    <row r="125" spans="18:35" x14ac:dyDescent="0.2">
      <c r="R125" s="85"/>
      <c r="S125" s="85"/>
      <c r="T125" s="85"/>
      <c r="W125" s="85"/>
      <c r="X125" s="85"/>
      <c r="Y125" s="85"/>
      <c r="AB125" s="85"/>
      <c r="AC125" s="85"/>
      <c r="AD125" s="85"/>
      <c r="AG125" s="85"/>
      <c r="AH125" s="85"/>
      <c r="AI125" s="85"/>
    </row>
    <row r="126" spans="18:35" x14ac:dyDescent="0.2">
      <c r="R126" s="85"/>
      <c r="S126" s="85"/>
      <c r="T126" s="85"/>
      <c r="W126" s="85"/>
      <c r="X126" s="85"/>
      <c r="Y126" s="85"/>
      <c r="AB126" s="85"/>
      <c r="AC126" s="85"/>
      <c r="AD126" s="85"/>
      <c r="AG126" s="85"/>
      <c r="AH126" s="85"/>
      <c r="AI126" s="85"/>
    </row>
    <row r="127" spans="18:35" x14ac:dyDescent="0.2">
      <c r="R127" s="85"/>
      <c r="S127" s="85"/>
      <c r="T127" s="85"/>
      <c r="W127" s="85"/>
      <c r="X127" s="85"/>
      <c r="Y127" s="85"/>
      <c r="AB127" s="85"/>
      <c r="AC127" s="85"/>
      <c r="AD127" s="85"/>
      <c r="AG127" s="85"/>
      <c r="AH127" s="85"/>
      <c r="AI127" s="85"/>
    </row>
    <row r="128" spans="18:35" x14ac:dyDescent="0.2">
      <c r="R128" s="85"/>
      <c r="S128" s="85"/>
      <c r="T128" s="85"/>
      <c r="W128" s="85"/>
      <c r="X128" s="85"/>
      <c r="Y128" s="85"/>
      <c r="AB128" s="85"/>
      <c r="AC128" s="85"/>
      <c r="AD128" s="85"/>
      <c r="AG128" s="85"/>
      <c r="AH128" s="85"/>
      <c r="AI128" s="85"/>
    </row>
    <row r="129" spans="18:35" x14ac:dyDescent="0.2">
      <c r="R129" s="85"/>
      <c r="S129" s="85"/>
      <c r="T129" s="85"/>
      <c r="W129" s="85"/>
      <c r="X129" s="85"/>
      <c r="Y129" s="85"/>
      <c r="AB129" s="85"/>
      <c r="AC129" s="85"/>
      <c r="AD129" s="85"/>
      <c r="AG129" s="85"/>
      <c r="AH129" s="85"/>
      <c r="AI129" s="85"/>
    </row>
    <row r="130" spans="18:35" x14ac:dyDescent="0.2">
      <c r="R130" s="85"/>
      <c r="S130" s="85"/>
      <c r="T130" s="85"/>
      <c r="W130" s="85"/>
      <c r="X130" s="85"/>
      <c r="Y130" s="85"/>
      <c r="AB130" s="85"/>
      <c r="AC130" s="85"/>
      <c r="AD130" s="85"/>
      <c r="AG130" s="85"/>
      <c r="AH130" s="85"/>
      <c r="AI130" s="85"/>
    </row>
    <row r="131" spans="18:35" x14ac:dyDescent="0.2">
      <c r="R131" s="85"/>
      <c r="S131" s="85"/>
      <c r="T131" s="85"/>
      <c r="W131" s="85"/>
      <c r="X131" s="85"/>
      <c r="Y131" s="85"/>
      <c r="AB131" s="85"/>
      <c r="AC131" s="85"/>
      <c r="AD131" s="85"/>
      <c r="AG131" s="85"/>
      <c r="AH131" s="85"/>
      <c r="AI131" s="85"/>
    </row>
    <row r="132" spans="18:35" x14ac:dyDescent="0.2">
      <c r="R132" s="85"/>
      <c r="S132" s="85"/>
      <c r="T132" s="85"/>
      <c r="W132" s="85"/>
      <c r="X132" s="85"/>
      <c r="Y132" s="85"/>
      <c r="AB132" s="85"/>
      <c r="AC132" s="85"/>
      <c r="AD132" s="85"/>
      <c r="AG132" s="85"/>
      <c r="AH132" s="85"/>
      <c r="AI132" s="85"/>
    </row>
    <row r="133" spans="18:35" x14ac:dyDescent="0.2">
      <c r="R133" s="85"/>
      <c r="S133" s="85"/>
      <c r="T133" s="85"/>
      <c r="W133" s="85"/>
      <c r="X133" s="85"/>
      <c r="Y133" s="85"/>
      <c r="AB133" s="85"/>
      <c r="AC133" s="85"/>
      <c r="AD133" s="85"/>
      <c r="AG133" s="85"/>
      <c r="AH133" s="85"/>
      <c r="AI133" s="85"/>
    </row>
    <row r="134" spans="18:35" x14ac:dyDescent="0.2">
      <c r="R134" s="85"/>
      <c r="S134" s="85"/>
      <c r="T134" s="85"/>
      <c r="W134" s="85"/>
      <c r="X134" s="85"/>
      <c r="Y134" s="85"/>
      <c r="AB134" s="85"/>
      <c r="AC134" s="85"/>
      <c r="AD134" s="85"/>
      <c r="AG134" s="85"/>
      <c r="AH134" s="85"/>
      <c r="AI134" s="85"/>
    </row>
    <row r="135" spans="18:35" x14ac:dyDescent="0.2">
      <c r="R135" s="85"/>
      <c r="S135" s="85"/>
      <c r="T135" s="85"/>
      <c r="W135" s="85"/>
      <c r="X135" s="85"/>
      <c r="Y135" s="85"/>
      <c r="AB135" s="85"/>
      <c r="AC135" s="85"/>
      <c r="AD135" s="85"/>
      <c r="AG135" s="85"/>
      <c r="AH135" s="85"/>
      <c r="AI135" s="85"/>
    </row>
    <row r="136" spans="18:35" x14ac:dyDescent="0.2">
      <c r="R136" s="85"/>
      <c r="S136" s="85"/>
      <c r="T136" s="85"/>
      <c r="W136" s="85"/>
      <c r="X136" s="85"/>
      <c r="Y136" s="85"/>
      <c r="AB136" s="85"/>
      <c r="AC136" s="85"/>
      <c r="AD136" s="85"/>
      <c r="AG136" s="85"/>
      <c r="AH136" s="85"/>
      <c r="AI136" s="85"/>
    </row>
    <row r="137" spans="18:35" x14ac:dyDescent="0.2">
      <c r="R137" s="85"/>
      <c r="S137" s="85"/>
      <c r="T137" s="85"/>
      <c r="W137" s="85"/>
      <c r="X137" s="85"/>
      <c r="Y137" s="85"/>
      <c r="AB137" s="85"/>
      <c r="AC137" s="85"/>
      <c r="AD137" s="85"/>
      <c r="AG137" s="85"/>
      <c r="AH137" s="85"/>
      <c r="AI137" s="85"/>
    </row>
    <row r="138" spans="18:35" x14ac:dyDescent="0.2">
      <c r="R138" s="85"/>
      <c r="S138" s="85"/>
      <c r="T138" s="85"/>
      <c r="W138" s="85"/>
      <c r="X138" s="85"/>
      <c r="Y138" s="85"/>
      <c r="AB138" s="85"/>
      <c r="AC138" s="85"/>
      <c r="AD138" s="85"/>
      <c r="AG138" s="85"/>
      <c r="AH138" s="85"/>
      <c r="AI138" s="85"/>
    </row>
    <row r="139" spans="18:35" x14ac:dyDescent="0.2">
      <c r="R139" s="85"/>
      <c r="S139" s="85"/>
      <c r="T139" s="85"/>
      <c r="W139" s="85"/>
      <c r="X139" s="85"/>
      <c r="Y139" s="85"/>
      <c r="AB139" s="85"/>
      <c r="AC139" s="85"/>
      <c r="AD139" s="85"/>
      <c r="AG139" s="85"/>
      <c r="AH139" s="85"/>
      <c r="AI139" s="85"/>
    </row>
    <row r="140" spans="18:35" x14ac:dyDescent="0.2">
      <c r="R140" s="85"/>
      <c r="S140" s="85"/>
      <c r="T140" s="85"/>
      <c r="W140" s="85"/>
      <c r="X140" s="85"/>
      <c r="Y140" s="85"/>
      <c r="AB140" s="85"/>
      <c r="AC140" s="85"/>
      <c r="AD140" s="85"/>
      <c r="AG140" s="85"/>
      <c r="AH140" s="85"/>
      <c r="AI140" s="85"/>
    </row>
    <row r="141" spans="18:35" x14ac:dyDescent="0.2">
      <c r="R141" s="85"/>
      <c r="S141" s="85"/>
      <c r="T141" s="85"/>
      <c r="W141" s="85"/>
      <c r="X141" s="85"/>
      <c r="Y141" s="85"/>
      <c r="AB141" s="85"/>
      <c r="AC141" s="85"/>
      <c r="AD141" s="85"/>
      <c r="AG141" s="85"/>
      <c r="AH141" s="85"/>
      <c r="AI141" s="85"/>
    </row>
    <row r="142" spans="18:35" x14ac:dyDescent="0.2">
      <c r="R142" s="85"/>
      <c r="S142" s="85"/>
      <c r="T142" s="85"/>
      <c r="W142" s="85"/>
      <c r="X142" s="85"/>
      <c r="Y142" s="85"/>
      <c r="AB142" s="85"/>
      <c r="AC142" s="85"/>
      <c r="AD142" s="85"/>
      <c r="AG142" s="85"/>
      <c r="AH142" s="85"/>
      <c r="AI142" s="85"/>
    </row>
    <row r="143" spans="18:35" x14ac:dyDescent="0.2">
      <c r="R143" s="85"/>
      <c r="S143" s="85"/>
      <c r="T143" s="85"/>
      <c r="W143" s="85"/>
      <c r="X143" s="85"/>
      <c r="Y143" s="85"/>
      <c r="AB143" s="85"/>
      <c r="AC143" s="85"/>
      <c r="AD143" s="85"/>
      <c r="AG143" s="85"/>
      <c r="AH143" s="85"/>
      <c r="AI143" s="85"/>
    </row>
    <row r="144" spans="18:35" x14ac:dyDescent="0.2">
      <c r="R144" s="85"/>
      <c r="S144" s="85"/>
      <c r="T144" s="85"/>
      <c r="W144" s="85"/>
      <c r="X144" s="85"/>
      <c r="Y144" s="85"/>
      <c r="AB144" s="85"/>
      <c r="AC144" s="85"/>
      <c r="AD144" s="85"/>
      <c r="AG144" s="85"/>
      <c r="AH144" s="85"/>
      <c r="AI144" s="85"/>
    </row>
    <row r="145" spans="18:35" x14ac:dyDescent="0.2">
      <c r="R145" s="85"/>
      <c r="S145" s="85"/>
      <c r="T145" s="85"/>
      <c r="W145" s="85"/>
      <c r="X145" s="85"/>
      <c r="Y145" s="85"/>
      <c r="AB145" s="85"/>
      <c r="AC145" s="85"/>
      <c r="AD145" s="85"/>
      <c r="AG145" s="85"/>
      <c r="AH145" s="85"/>
      <c r="AI145" s="85"/>
    </row>
    <row r="146" spans="18:35" x14ac:dyDescent="0.2">
      <c r="R146" s="85"/>
      <c r="S146" s="85"/>
      <c r="T146" s="85"/>
      <c r="W146" s="85"/>
      <c r="X146" s="85"/>
      <c r="Y146" s="85"/>
      <c r="AB146" s="85"/>
      <c r="AC146" s="85"/>
      <c r="AD146" s="85"/>
      <c r="AG146" s="85"/>
      <c r="AH146" s="85"/>
      <c r="AI146" s="85"/>
    </row>
    <row r="147" spans="18:35" x14ac:dyDescent="0.2">
      <c r="R147" s="85"/>
      <c r="S147" s="85"/>
      <c r="T147" s="85"/>
      <c r="W147" s="85"/>
      <c r="X147" s="85"/>
      <c r="Y147" s="85"/>
      <c r="AB147" s="85"/>
      <c r="AC147" s="85"/>
      <c r="AD147" s="85"/>
      <c r="AG147" s="85"/>
      <c r="AH147" s="85"/>
      <c r="AI147" s="85"/>
    </row>
    <row r="148" spans="18:35" x14ac:dyDescent="0.2">
      <c r="R148" s="85"/>
      <c r="S148" s="85"/>
      <c r="T148" s="85"/>
      <c r="W148" s="85"/>
      <c r="X148" s="85"/>
      <c r="Y148" s="85"/>
      <c r="AB148" s="85"/>
      <c r="AC148" s="85"/>
      <c r="AD148" s="85"/>
      <c r="AG148" s="85"/>
      <c r="AH148" s="85"/>
      <c r="AI148" s="85"/>
    </row>
    <row r="149" spans="18:35" x14ac:dyDescent="0.2">
      <c r="R149" s="85"/>
      <c r="S149" s="85"/>
      <c r="T149" s="85"/>
      <c r="W149" s="85"/>
      <c r="X149" s="85"/>
      <c r="Y149" s="85"/>
      <c r="AB149" s="85"/>
      <c r="AC149" s="85"/>
      <c r="AD149" s="85"/>
      <c r="AG149" s="85"/>
      <c r="AH149" s="85"/>
      <c r="AI149" s="85"/>
    </row>
    <row r="150" spans="18:35" x14ac:dyDescent="0.2">
      <c r="R150" s="85"/>
      <c r="S150" s="85"/>
      <c r="T150" s="85"/>
      <c r="W150" s="85"/>
      <c r="X150" s="85"/>
      <c r="Y150" s="85"/>
      <c r="AB150" s="85"/>
      <c r="AC150" s="85"/>
      <c r="AD150" s="85"/>
      <c r="AG150" s="85"/>
      <c r="AH150" s="85"/>
      <c r="AI150" s="85"/>
    </row>
    <row r="151" spans="18:35" x14ac:dyDescent="0.2">
      <c r="R151" s="85"/>
      <c r="S151" s="85"/>
      <c r="T151" s="85"/>
      <c r="W151" s="85"/>
      <c r="X151" s="85"/>
      <c r="Y151" s="85"/>
      <c r="AB151" s="85"/>
      <c r="AC151" s="85"/>
      <c r="AD151" s="85"/>
      <c r="AG151" s="85"/>
      <c r="AH151" s="85"/>
      <c r="AI151" s="85"/>
    </row>
    <row r="152" spans="18:35" x14ac:dyDescent="0.2">
      <c r="R152" s="85"/>
      <c r="S152" s="85"/>
      <c r="T152" s="85"/>
      <c r="W152" s="85"/>
      <c r="X152" s="85"/>
      <c r="Y152" s="85"/>
      <c r="AB152" s="85"/>
      <c r="AC152" s="85"/>
      <c r="AD152" s="85"/>
      <c r="AG152" s="85"/>
      <c r="AH152" s="85"/>
      <c r="AI152" s="85"/>
    </row>
    <row r="153" spans="18:35" x14ac:dyDescent="0.2">
      <c r="R153" s="85"/>
      <c r="S153" s="85"/>
      <c r="T153" s="85"/>
      <c r="W153" s="85"/>
      <c r="X153" s="85"/>
      <c r="Y153" s="85"/>
      <c r="AB153" s="85"/>
      <c r="AC153" s="85"/>
      <c r="AD153" s="85"/>
      <c r="AG153" s="85"/>
      <c r="AH153" s="85"/>
      <c r="AI153" s="85"/>
    </row>
    <row r="154" spans="18:35" x14ac:dyDescent="0.2">
      <c r="R154" s="85"/>
      <c r="S154" s="85"/>
      <c r="T154" s="85"/>
      <c r="W154" s="85"/>
      <c r="X154" s="85"/>
      <c r="Y154" s="85"/>
      <c r="AB154" s="85"/>
      <c r="AC154" s="85"/>
      <c r="AD154" s="85"/>
      <c r="AG154" s="85"/>
      <c r="AH154" s="85"/>
      <c r="AI154" s="85"/>
    </row>
    <row r="155" spans="18:35" x14ac:dyDescent="0.2">
      <c r="R155" s="85"/>
      <c r="S155" s="85"/>
      <c r="T155" s="85"/>
      <c r="W155" s="85"/>
      <c r="X155" s="85"/>
      <c r="Y155" s="85"/>
      <c r="AB155" s="85"/>
      <c r="AC155" s="85"/>
      <c r="AD155" s="85"/>
      <c r="AG155" s="85"/>
      <c r="AH155" s="85"/>
      <c r="AI155" s="85"/>
    </row>
    <row r="156" spans="18:35" x14ac:dyDescent="0.2">
      <c r="R156" s="85"/>
      <c r="S156" s="85"/>
      <c r="T156" s="85"/>
      <c r="W156" s="85"/>
      <c r="X156" s="85"/>
      <c r="Y156" s="85"/>
      <c r="AB156" s="85"/>
      <c r="AC156" s="85"/>
      <c r="AD156" s="85"/>
      <c r="AG156" s="85"/>
      <c r="AH156" s="85"/>
      <c r="AI156" s="85"/>
    </row>
    <row r="157" spans="18:35" x14ac:dyDescent="0.2">
      <c r="R157" s="85"/>
      <c r="S157" s="85"/>
      <c r="T157" s="85"/>
      <c r="W157" s="85"/>
      <c r="X157" s="85"/>
      <c r="Y157" s="85"/>
      <c r="AB157" s="85"/>
      <c r="AC157" s="85"/>
      <c r="AD157" s="85"/>
      <c r="AG157" s="85"/>
      <c r="AH157" s="85"/>
      <c r="AI157" s="85"/>
    </row>
    <row r="158" spans="18:35" x14ac:dyDescent="0.2">
      <c r="R158" s="85"/>
      <c r="S158" s="85"/>
      <c r="T158" s="85"/>
      <c r="W158" s="85"/>
      <c r="X158" s="85"/>
      <c r="Y158" s="85"/>
      <c r="AB158" s="85"/>
      <c r="AC158" s="85"/>
      <c r="AD158" s="85"/>
      <c r="AG158" s="85"/>
      <c r="AH158" s="85"/>
      <c r="AI158" s="85"/>
    </row>
    <row r="159" spans="18:35" x14ac:dyDescent="0.2">
      <c r="R159" s="85"/>
      <c r="S159" s="85"/>
      <c r="T159" s="85"/>
      <c r="W159" s="85"/>
      <c r="X159" s="85"/>
      <c r="Y159" s="85"/>
      <c r="AB159" s="85"/>
      <c r="AC159" s="85"/>
      <c r="AD159" s="85"/>
      <c r="AG159" s="85"/>
      <c r="AH159" s="85"/>
      <c r="AI159" s="85"/>
    </row>
    <row r="160" spans="18:35" x14ac:dyDescent="0.2">
      <c r="R160" s="85"/>
      <c r="S160" s="85"/>
      <c r="T160" s="85"/>
      <c r="W160" s="85"/>
      <c r="X160" s="85"/>
      <c r="Y160" s="85"/>
      <c r="AB160" s="85"/>
      <c r="AC160" s="85"/>
      <c r="AD160" s="85"/>
      <c r="AG160" s="85"/>
      <c r="AH160" s="85"/>
      <c r="AI160" s="85"/>
    </row>
    <row r="161" spans="18:35" x14ac:dyDescent="0.2">
      <c r="R161" s="85"/>
      <c r="S161" s="85"/>
      <c r="T161" s="85"/>
      <c r="W161" s="85"/>
      <c r="X161" s="85"/>
      <c r="Y161" s="85"/>
      <c r="AB161" s="85"/>
      <c r="AC161" s="85"/>
      <c r="AD161" s="85"/>
      <c r="AG161" s="85"/>
      <c r="AH161" s="85"/>
      <c r="AI161" s="85"/>
    </row>
    <row r="162" spans="18:35" x14ac:dyDescent="0.2">
      <c r="R162" s="85"/>
      <c r="S162" s="85"/>
      <c r="T162" s="85"/>
      <c r="W162" s="85"/>
      <c r="X162" s="85"/>
      <c r="Y162" s="85"/>
      <c r="AB162" s="85"/>
      <c r="AC162" s="85"/>
      <c r="AD162" s="85"/>
      <c r="AG162" s="85"/>
      <c r="AH162" s="85"/>
      <c r="AI162" s="85"/>
    </row>
    <row r="163" spans="18:35" x14ac:dyDescent="0.2">
      <c r="R163" s="85"/>
      <c r="S163" s="85"/>
      <c r="T163" s="85"/>
      <c r="W163" s="85"/>
      <c r="X163" s="85"/>
      <c r="Y163" s="85"/>
      <c r="AB163" s="85"/>
      <c r="AC163" s="85"/>
      <c r="AD163" s="85"/>
      <c r="AG163" s="85"/>
      <c r="AH163" s="85"/>
      <c r="AI163" s="85"/>
    </row>
    <row r="164" spans="18:35" x14ac:dyDescent="0.2">
      <c r="R164" s="85"/>
      <c r="S164" s="85"/>
      <c r="T164" s="85"/>
      <c r="W164" s="85"/>
      <c r="X164" s="85"/>
      <c r="Y164" s="85"/>
      <c r="AB164" s="85"/>
      <c r="AC164" s="85"/>
      <c r="AD164" s="85"/>
      <c r="AG164" s="85"/>
      <c r="AH164" s="85"/>
      <c r="AI164" s="85"/>
    </row>
    <row r="165" spans="18:35" x14ac:dyDescent="0.2">
      <c r="R165" s="85"/>
      <c r="S165" s="85"/>
      <c r="T165" s="85"/>
      <c r="W165" s="85"/>
      <c r="X165" s="85"/>
      <c r="Y165" s="85"/>
      <c r="AB165" s="85"/>
      <c r="AC165" s="85"/>
      <c r="AD165" s="85"/>
      <c r="AG165" s="85"/>
      <c r="AH165" s="85"/>
      <c r="AI165" s="85"/>
    </row>
    <row r="166" spans="18:35" x14ac:dyDescent="0.2">
      <c r="R166" s="85"/>
      <c r="S166" s="85"/>
      <c r="T166" s="85"/>
      <c r="W166" s="85"/>
      <c r="X166" s="85"/>
      <c r="Y166" s="85"/>
      <c r="AB166" s="85"/>
      <c r="AC166" s="85"/>
      <c r="AD166" s="85"/>
      <c r="AG166" s="85"/>
      <c r="AH166" s="85"/>
      <c r="AI166" s="85"/>
    </row>
    <row r="167" spans="18:35" x14ac:dyDescent="0.2">
      <c r="R167" s="85"/>
      <c r="S167" s="85"/>
      <c r="T167" s="85"/>
      <c r="W167" s="85"/>
      <c r="X167" s="85"/>
      <c r="Y167" s="85"/>
      <c r="AB167" s="85"/>
      <c r="AC167" s="85"/>
      <c r="AD167" s="85"/>
      <c r="AG167" s="85"/>
      <c r="AH167" s="85"/>
      <c r="AI167" s="85"/>
    </row>
    <row r="168" spans="18:35" x14ac:dyDescent="0.2">
      <c r="R168" s="85"/>
      <c r="S168" s="85"/>
      <c r="T168" s="85"/>
      <c r="W168" s="85"/>
      <c r="X168" s="85"/>
      <c r="Y168" s="85"/>
      <c r="AB168" s="85"/>
      <c r="AC168" s="85"/>
      <c r="AD168" s="85"/>
      <c r="AG168" s="85"/>
      <c r="AH168" s="85"/>
      <c r="AI168" s="85"/>
    </row>
    <row r="169" spans="18:35" x14ac:dyDescent="0.2">
      <c r="R169" s="85"/>
      <c r="S169" s="85"/>
      <c r="T169" s="85"/>
      <c r="W169" s="85"/>
      <c r="X169" s="85"/>
      <c r="Y169" s="85"/>
      <c r="AB169" s="85"/>
      <c r="AC169" s="85"/>
      <c r="AD169" s="85"/>
      <c r="AG169" s="85"/>
      <c r="AH169" s="85"/>
      <c r="AI169" s="85"/>
    </row>
    <row r="170" spans="18:35" x14ac:dyDescent="0.2">
      <c r="R170" s="85"/>
      <c r="S170" s="85"/>
      <c r="T170" s="85"/>
      <c r="W170" s="85"/>
      <c r="X170" s="85"/>
      <c r="Y170" s="85"/>
      <c r="AB170" s="85"/>
      <c r="AC170" s="85"/>
      <c r="AD170" s="85"/>
      <c r="AG170" s="85"/>
      <c r="AH170" s="85"/>
      <c r="AI170" s="85"/>
    </row>
    <row r="171" spans="18:35" x14ac:dyDescent="0.2">
      <c r="R171" s="85"/>
      <c r="S171" s="85"/>
      <c r="T171" s="85"/>
      <c r="W171" s="85"/>
      <c r="X171" s="85"/>
      <c r="Y171" s="85"/>
      <c r="AB171" s="85"/>
      <c r="AC171" s="85"/>
      <c r="AD171" s="85"/>
      <c r="AG171" s="85"/>
      <c r="AH171" s="85"/>
      <c r="AI171" s="85"/>
    </row>
    <row r="172" spans="18:35" x14ac:dyDescent="0.2">
      <c r="R172" s="85"/>
      <c r="S172" s="85"/>
      <c r="T172" s="85"/>
      <c r="W172" s="85"/>
      <c r="X172" s="85"/>
      <c r="Y172" s="85"/>
      <c r="AB172" s="85"/>
      <c r="AC172" s="85"/>
      <c r="AD172" s="85"/>
      <c r="AG172" s="85"/>
      <c r="AH172" s="85"/>
      <c r="AI172" s="85"/>
    </row>
    <row r="173" spans="18:35" x14ac:dyDescent="0.2">
      <c r="R173" s="85"/>
      <c r="S173" s="85"/>
      <c r="T173" s="85"/>
      <c r="W173" s="85"/>
      <c r="X173" s="85"/>
      <c r="Y173" s="85"/>
      <c r="AB173" s="85"/>
      <c r="AC173" s="85"/>
      <c r="AD173" s="85"/>
      <c r="AG173" s="85"/>
      <c r="AH173" s="85"/>
      <c r="AI173" s="85"/>
    </row>
    <row r="174" spans="18:35" x14ac:dyDescent="0.2">
      <c r="R174" s="85"/>
      <c r="S174" s="85"/>
      <c r="T174" s="85"/>
      <c r="W174" s="85"/>
      <c r="X174" s="85"/>
      <c r="Y174" s="85"/>
      <c r="AB174" s="85"/>
      <c r="AC174" s="85"/>
      <c r="AD174" s="85"/>
      <c r="AG174" s="85"/>
      <c r="AH174" s="85"/>
      <c r="AI174" s="85"/>
    </row>
    <row r="175" spans="18:35" x14ac:dyDescent="0.2">
      <c r="R175" s="85"/>
      <c r="S175" s="85"/>
      <c r="T175" s="85"/>
      <c r="W175" s="85"/>
      <c r="X175" s="85"/>
      <c r="Y175" s="85"/>
      <c r="AB175" s="85"/>
      <c r="AC175" s="85"/>
      <c r="AD175" s="85"/>
      <c r="AG175" s="85"/>
      <c r="AH175" s="85"/>
      <c r="AI175" s="85"/>
    </row>
    <row r="176" spans="18:35" x14ac:dyDescent="0.2">
      <c r="R176" s="85"/>
      <c r="S176" s="85"/>
      <c r="T176" s="85"/>
      <c r="W176" s="85"/>
      <c r="X176" s="85"/>
      <c r="Y176" s="85"/>
      <c r="AB176" s="85"/>
      <c r="AC176" s="85"/>
      <c r="AD176" s="85"/>
      <c r="AG176" s="85"/>
      <c r="AH176" s="85"/>
      <c r="AI176" s="85"/>
    </row>
    <row r="177" spans="18:35" x14ac:dyDescent="0.2">
      <c r="R177" s="85"/>
      <c r="S177" s="85"/>
      <c r="T177" s="85"/>
      <c r="W177" s="85"/>
      <c r="X177" s="85"/>
      <c r="Y177" s="85"/>
      <c r="AB177" s="85"/>
      <c r="AC177" s="85"/>
      <c r="AD177" s="85"/>
      <c r="AG177" s="85"/>
      <c r="AH177" s="85"/>
      <c r="AI177" s="85"/>
    </row>
    <row r="178" spans="18:35" x14ac:dyDescent="0.2">
      <c r="R178" s="85"/>
      <c r="S178" s="85"/>
      <c r="T178" s="85"/>
      <c r="W178" s="85"/>
      <c r="X178" s="85"/>
      <c r="Y178" s="85"/>
      <c r="AB178" s="85"/>
      <c r="AC178" s="85"/>
      <c r="AD178" s="85"/>
      <c r="AG178" s="85"/>
      <c r="AH178" s="85"/>
      <c r="AI178" s="85"/>
    </row>
    <row r="179" spans="18:35" x14ac:dyDescent="0.2">
      <c r="R179" s="85"/>
      <c r="S179" s="85"/>
      <c r="T179" s="85"/>
      <c r="W179" s="85"/>
      <c r="X179" s="85"/>
      <c r="Y179" s="85"/>
      <c r="AB179" s="85"/>
      <c r="AC179" s="85"/>
      <c r="AD179" s="85"/>
      <c r="AG179" s="85"/>
      <c r="AH179" s="85"/>
      <c r="AI179" s="85"/>
    </row>
    <row r="180" spans="18:35" x14ac:dyDescent="0.2">
      <c r="R180" s="85"/>
      <c r="S180" s="85"/>
      <c r="T180" s="85"/>
      <c r="W180" s="85"/>
      <c r="X180" s="85"/>
      <c r="Y180" s="85"/>
      <c r="AB180" s="85"/>
      <c r="AC180" s="85"/>
      <c r="AD180" s="85"/>
      <c r="AG180" s="85"/>
      <c r="AH180" s="85"/>
      <c r="AI180" s="85"/>
    </row>
    <row r="181" spans="18:35" x14ac:dyDescent="0.2">
      <c r="R181" s="85"/>
      <c r="S181" s="85"/>
      <c r="T181" s="85"/>
      <c r="W181" s="85"/>
      <c r="X181" s="85"/>
      <c r="Y181" s="85"/>
      <c r="AB181" s="85"/>
      <c r="AC181" s="85"/>
      <c r="AD181" s="85"/>
      <c r="AG181" s="85"/>
      <c r="AH181" s="85"/>
      <c r="AI181" s="85"/>
    </row>
    <row r="182" spans="18:35" x14ac:dyDescent="0.2">
      <c r="R182" s="85"/>
      <c r="S182" s="85"/>
      <c r="T182" s="85"/>
      <c r="W182" s="85"/>
      <c r="X182" s="85"/>
      <c r="Y182" s="85"/>
      <c r="AB182" s="85"/>
      <c r="AC182" s="85"/>
      <c r="AD182" s="85"/>
      <c r="AG182" s="85"/>
      <c r="AH182" s="85"/>
      <c r="AI182" s="85"/>
    </row>
    <row r="183" spans="18:35" x14ac:dyDescent="0.2">
      <c r="R183" s="85"/>
      <c r="S183" s="85"/>
      <c r="T183" s="85"/>
      <c r="W183" s="85"/>
      <c r="X183" s="85"/>
      <c r="Y183" s="85"/>
      <c r="AB183" s="85"/>
      <c r="AC183" s="85"/>
      <c r="AD183" s="85"/>
      <c r="AG183" s="85"/>
      <c r="AH183" s="85"/>
      <c r="AI183" s="85"/>
    </row>
    <row r="184" spans="18:35" x14ac:dyDescent="0.2">
      <c r="R184" s="85"/>
      <c r="S184" s="85"/>
      <c r="T184" s="85"/>
      <c r="W184" s="85"/>
      <c r="X184" s="85"/>
      <c r="Y184" s="85"/>
      <c r="AB184" s="85"/>
      <c r="AC184" s="85"/>
      <c r="AD184" s="85"/>
      <c r="AG184" s="85"/>
      <c r="AH184" s="85"/>
      <c r="AI184" s="85"/>
    </row>
    <row r="185" spans="18:35" x14ac:dyDescent="0.2">
      <c r="R185" s="85"/>
      <c r="S185" s="85"/>
      <c r="T185" s="85"/>
      <c r="W185" s="85"/>
      <c r="X185" s="85"/>
      <c r="Y185" s="85"/>
      <c r="AB185" s="85"/>
      <c r="AC185" s="85"/>
      <c r="AD185" s="85"/>
      <c r="AG185" s="85"/>
      <c r="AH185" s="85"/>
      <c r="AI185" s="85"/>
    </row>
    <row r="186" spans="18:35" x14ac:dyDescent="0.2">
      <c r="R186" s="85"/>
      <c r="S186" s="85"/>
      <c r="T186" s="85"/>
      <c r="W186" s="85"/>
      <c r="X186" s="85"/>
      <c r="Y186" s="85"/>
      <c r="AB186" s="85"/>
      <c r="AC186" s="85"/>
      <c r="AD186" s="85"/>
      <c r="AG186" s="85"/>
      <c r="AH186" s="85"/>
      <c r="AI186" s="85"/>
    </row>
    <row r="187" spans="18:35" x14ac:dyDescent="0.2">
      <c r="R187" s="85"/>
      <c r="S187" s="85"/>
      <c r="T187" s="85"/>
      <c r="W187" s="85"/>
      <c r="X187" s="85"/>
      <c r="Y187" s="85"/>
      <c r="AB187" s="85"/>
      <c r="AC187" s="85"/>
      <c r="AD187" s="85"/>
      <c r="AG187" s="85"/>
      <c r="AH187" s="85"/>
      <c r="AI187" s="85"/>
    </row>
    <row r="188" spans="18:35" x14ac:dyDescent="0.2">
      <c r="R188" s="85"/>
      <c r="S188" s="85"/>
      <c r="T188" s="85"/>
      <c r="W188" s="85"/>
      <c r="X188" s="85"/>
      <c r="Y188" s="85"/>
      <c r="AB188" s="85"/>
      <c r="AC188" s="85"/>
      <c r="AD188" s="85"/>
      <c r="AG188" s="85"/>
      <c r="AH188" s="85"/>
      <c r="AI188" s="85"/>
    </row>
    <row r="189" spans="18:35" x14ac:dyDescent="0.2">
      <c r="R189" s="85"/>
      <c r="S189" s="85"/>
      <c r="T189" s="85"/>
      <c r="W189" s="85"/>
      <c r="X189" s="85"/>
      <c r="Y189" s="85"/>
      <c r="AB189" s="85"/>
      <c r="AC189" s="85"/>
      <c r="AD189" s="85"/>
      <c r="AG189" s="85"/>
      <c r="AH189" s="85"/>
      <c r="AI189" s="85"/>
    </row>
    <row r="190" spans="18:35" x14ac:dyDescent="0.2">
      <c r="R190" s="85"/>
      <c r="S190" s="85"/>
      <c r="T190" s="85"/>
      <c r="W190" s="85"/>
      <c r="X190" s="85"/>
      <c r="Y190" s="85"/>
      <c r="AB190" s="85"/>
      <c r="AC190" s="85"/>
      <c r="AD190" s="85"/>
      <c r="AG190" s="85"/>
      <c r="AH190" s="85"/>
      <c r="AI190" s="85"/>
    </row>
    <row r="191" spans="18:35" x14ac:dyDescent="0.2">
      <c r="R191" s="85"/>
      <c r="S191" s="85"/>
      <c r="T191" s="85"/>
      <c r="W191" s="85"/>
      <c r="X191" s="85"/>
      <c r="Y191" s="85"/>
      <c r="AB191" s="85"/>
      <c r="AC191" s="85"/>
      <c r="AD191" s="85"/>
      <c r="AG191" s="85"/>
      <c r="AH191" s="85"/>
      <c r="AI191" s="85"/>
    </row>
    <row r="192" spans="18:35" x14ac:dyDescent="0.2">
      <c r="R192" s="85"/>
      <c r="S192" s="85"/>
      <c r="T192" s="85"/>
      <c r="W192" s="85"/>
      <c r="X192" s="85"/>
      <c r="Y192" s="85"/>
      <c r="AB192" s="85"/>
      <c r="AC192" s="85"/>
      <c r="AD192" s="85"/>
      <c r="AG192" s="85"/>
      <c r="AH192" s="85"/>
      <c r="AI192" s="85"/>
    </row>
    <row r="193" spans="18:35" x14ac:dyDescent="0.2">
      <c r="R193" s="85"/>
      <c r="S193" s="85"/>
      <c r="T193" s="85"/>
      <c r="W193" s="85"/>
      <c r="X193" s="85"/>
      <c r="Y193" s="85"/>
      <c r="AB193" s="85"/>
      <c r="AC193" s="85"/>
      <c r="AD193" s="85"/>
      <c r="AG193" s="85"/>
      <c r="AH193" s="85"/>
      <c r="AI193" s="85"/>
    </row>
    <row r="194" spans="18:35" x14ac:dyDescent="0.2">
      <c r="R194" s="85"/>
      <c r="S194" s="85"/>
      <c r="T194" s="85"/>
      <c r="W194" s="85"/>
      <c r="X194" s="85"/>
      <c r="Y194" s="85"/>
      <c r="AB194" s="85"/>
      <c r="AC194" s="85"/>
      <c r="AD194" s="85"/>
      <c r="AG194" s="85"/>
      <c r="AH194" s="85"/>
      <c r="AI194" s="85"/>
    </row>
    <row r="195" spans="18:35" x14ac:dyDescent="0.2">
      <c r="R195" s="85"/>
      <c r="S195" s="85"/>
      <c r="T195" s="85"/>
      <c r="W195" s="85"/>
      <c r="X195" s="85"/>
      <c r="Y195" s="85"/>
      <c r="AB195" s="85"/>
      <c r="AC195" s="85"/>
      <c r="AD195" s="85"/>
      <c r="AG195" s="85"/>
      <c r="AH195" s="85"/>
      <c r="AI195" s="85"/>
    </row>
    <row r="196" spans="18:35" x14ac:dyDescent="0.2">
      <c r="R196" s="85"/>
      <c r="S196" s="85"/>
      <c r="T196" s="85"/>
      <c r="W196" s="85"/>
      <c r="X196" s="85"/>
      <c r="Y196" s="85"/>
      <c r="AB196" s="85"/>
      <c r="AC196" s="85"/>
      <c r="AD196" s="85"/>
      <c r="AG196" s="85"/>
      <c r="AH196" s="85"/>
      <c r="AI196" s="85"/>
    </row>
    <row r="197" spans="18:35" x14ac:dyDescent="0.2">
      <c r="R197" s="85"/>
      <c r="S197" s="85"/>
      <c r="T197" s="85"/>
      <c r="W197" s="85"/>
      <c r="X197" s="85"/>
      <c r="Y197" s="85"/>
      <c r="AB197" s="85"/>
      <c r="AC197" s="85"/>
      <c r="AD197" s="85"/>
      <c r="AG197" s="85"/>
      <c r="AH197" s="85"/>
      <c r="AI197" s="85"/>
    </row>
    <row r="198" spans="18:35" x14ac:dyDescent="0.2">
      <c r="R198" s="85"/>
      <c r="S198" s="85"/>
      <c r="T198" s="85"/>
      <c r="W198" s="85"/>
      <c r="X198" s="85"/>
      <c r="Y198" s="85"/>
      <c r="AB198" s="85"/>
      <c r="AC198" s="85"/>
      <c r="AD198" s="85"/>
      <c r="AG198" s="85"/>
      <c r="AH198" s="85"/>
      <c r="AI198" s="85"/>
    </row>
    <row r="199" spans="18:35" x14ac:dyDescent="0.2">
      <c r="R199" s="85"/>
      <c r="S199" s="85"/>
      <c r="T199" s="85"/>
      <c r="W199" s="85"/>
      <c r="X199" s="85"/>
      <c r="Y199" s="85"/>
      <c r="AB199" s="85"/>
      <c r="AC199" s="85"/>
      <c r="AD199" s="85"/>
      <c r="AG199" s="85"/>
      <c r="AH199" s="85"/>
      <c r="AI199" s="85"/>
    </row>
    <row r="200" spans="18:35" x14ac:dyDescent="0.2">
      <c r="R200" s="85"/>
      <c r="S200" s="85"/>
      <c r="T200" s="85"/>
      <c r="W200" s="85"/>
      <c r="X200" s="85"/>
      <c r="Y200" s="85"/>
      <c r="AB200" s="85"/>
      <c r="AC200" s="85"/>
      <c r="AD200" s="85"/>
      <c r="AG200" s="85"/>
      <c r="AH200" s="85"/>
      <c r="AI200" s="85"/>
    </row>
    <row r="201" spans="18:35" x14ac:dyDescent="0.2">
      <c r="R201" s="85"/>
      <c r="S201" s="85"/>
      <c r="T201" s="85"/>
      <c r="W201" s="85"/>
      <c r="X201" s="85"/>
      <c r="Y201" s="85"/>
      <c r="AB201" s="85"/>
      <c r="AC201" s="85"/>
      <c r="AD201" s="85"/>
      <c r="AG201" s="85"/>
      <c r="AH201" s="85"/>
      <c r="AI201" s="85"/>
    </row>
    <row r="202" spans="18:35" x14ac:dyDescent="0.2">
      <c r="R202" s="85"/>
      <c r="S202" s="85"/>
      <c r="T202" s="85"/>
      <c r="W202" s="85"/>
      <c r="X202" s="85"/>
      <c r="Y202" s="85"/>
      <c r="AB202" s="85"/>
      <c r="AC202" s="85"/>
      <c r="AD202" s="85"/>
      <c r="AG202" s="85"/>
      <c r="AH202" s="85"/>
      <c r="AI202" s="85"/>
    </row>
    <row r="203" spans="18:35" x14ac:dyDescent="0.2">
      <c r="R203" s="85"/>
      <c r="S203" s="85"/>
      <c r="T203" s="85"/>
      <c r="W203" s="85"/>
      <c r="X203" s="85"/>
      <c r="Y203" s="85"/>
      <c r="AB203" s="85"/>
      <c r="AC203" s="85"/>
      <c r="AD203" s="85"/>
      <c r="AG203" s="85"/>
      <c r="AH203" s="85"/>
      <c r="AI203" s="85"/>
    </row>
    <row r="204" spans="18:35" x14ac:dyDescent="0.2">
      <c r="R204" s="85"/>
      <c r="S204" s="85"/>
      <c r="T204" s="85"/>
      <c r="W204" s="85"/>
      <c r="X204" s="85"/>
      <c r="Y204" s="85"/>
      <c r="AB204" s="85"/>
      <c r="AC204" s="85"/>
      <c r="AD204" s="85"/>
      <c r="AG204" s="85"/>
      <c r="AH204" s="85"/>
      <c r="AI204" s="85"/>
    </row>
    <row r="205" spans="18:35" x14ac:dyDescent="0.2">
      <c r="R205" s="85"/>
      <c r="S205" s="85"/>
      <c r="T205" s="85"/>
      <c r="W205" s="85"/>
      <c r="X205" s="85"/>
      <c r="Y205" s="85"/>
      <c r="AB205" s="85"/>
      <c r="AC205" s="85"/>
      <c r="AD205" s="85"/>
      <c r="AG205" s="85"/>
      <c r="AH205" s="85"/>
      <c r="AI205" s="85"/>
    </row>
    <row r="206" spans="18:35" x14ac:dyDescent="0.2">
      <c r="R206" s="85"/>
      <c r="S206" s="85"/>
      <c r="T206" s="85"/>
      <c r="W206" s="85"/>
      <c r="X206" s="85"/>
      <c r="Y206" s="85"/>
      <c r="AB206" s="85"/>
      <c r="AC206" s="85"/>
      <c r="AD206" s="85"/>
      <c r="AG206" s="85"/>
      <c r="AH206" s="85"/>
      <c r="AI206" s="85"/>
    </row>
    <row r="207" spans="18:35" x14ac:dyDescent="0.2">
      <c r="R207" s="85"/>
      <c r="S207" s="85"/>
      <c r="T207" s="85"/>
      <c r="W207" s="85"/>
      <c r="X207" s="85"/>
      <c r="Y207" s="85"/>
      <c r="AB207" s="85"/>
      <c r="AC207" s="85"/>
      <c r="AD207" s="85"/>
      <c r="AG207" s="85"/>
      <c r="AH207" s="85"/>
      <c r="AI207" s="85"/>
    </row>
    <row r="208" spans="18:35" x14ac:dyDescent="0.2">
      <c r="R208" s="85"/>
      <c r="S208" s="85"/>
      <c r="T208" s="85"/>
      <c r="W208" s="85"/>
      <c r="X208" s="85"/>
      <c r="Y208" s="85"/>
      <c r="AB208" s="85"/>
      <c r="AC208" s="85"/>
      <c r="AD208" s="85"/>
      <c r="AG208" s="85"/>
      <c r="AH208" s="85"/>
      <c r="AI208" s="85"/>
    </row>
    <row r="209" spans="18:35" x14ac:dyDescent="0.2">
      <c r="R209" s="85"/>
      <c r="S209" s="85"/>
      <c r="T209" s="85"/>
      <c r="W209" s="85"/>
      <c r="X209" s="85"/>
      <c r="Y209" s="85"/>
      <c r="AB209" s="85"/>
      <c r="AC209" s="85"/>
      <c r="AD209" s="85"/>
      <c r="AG209" s="85"/>
      <c r="AH209" s="85"/>
      <c r="AI209" s="85"/>
    </row>
    <row r="210" spans="18:35" x14ac:dyDescent="0.2">
      <c r="R210" s="85"/>
      <c r="S210" s="85"/>
      <c r="T210" s="85"/>
      <c r="W210" s="85"/>
      <c r="X210" s="85"/>
      <c r="Y210" s="85"/>
      <c r="AB210" s="85"/>
      <c r="AC210" s="85"/>
      <c r="AD210" s="85"/>
      <c r="AG210" s="85"/>
      <c r="AH210" s="85"/>
      <c r="AI210" s="85"/>
    </row>
    <row r="211" spans="18:35" x14ac:dyDescent="0.2">
      <c r="R211" s="85"/>
      <c r="S211" s="85"/>
      <c r="T211" s="85"/>
      <c r="W211" s="85"/>
      <c r="X211" s="85"/>
      <c r="Y211" s="85"/>
      <c r="AB211" s="85"/>
      <c r="AC211" s="85"/>
      <c r="AD211" s="85"/>
      <c r="AG211" s="85"/>
      <c r="AH211" s="85"/>
      <c r="AI211" s="85"/>
    </row>
    <row r="212" spans="18:35" x14ac:dyDescent="0.2">
      <c r="R212" s="85"/>
      <c r="S212" s="85"/>
      <c r="T212" s="85"/>
      <c r="W212" s="85"/>
      <c r="X212" s="85"/>
      <c r="Y212" s="85"/>
      <c r="AB212" s="85"/>
      <c r="AC212" s="85"/>
      <c r="AD212" s="85"/>
      <c r="AG212" s="85"/>
      <c r="AH212" s="85"/>
      <c r="AI212" s="85"/>
    </row>
    <row r="213" spans="18:35" x14ac:dyDescent="0.2">
      <c r="R213" s="85"/>
      <c r="S213" s="85"/>
      <c r="T213" s="85"/>
      <c r="W213" s="85"/>
      <c r="X213" s="85"/>
      <c r="Y213" s="85"/>
      <c r="AB213" s="85"/>
      <c r="AC213" s="85"/>
      <c r="AD213" s="85"/>
      <c r="AG213" s="85"/>
      <c r="AH213" s="85"/>
      <c r="AI213" s="85"/>
    </row>
    <row r="214" spans="18:35" x14ac:dyDescent="0.2">
      <c r="R214" s="85"/>
      <c r="S214" s="85"/>
      <c r="T214" s="85"/>
      <c r="W214" s="85"/>
      <c r="X214" s="85"/>
      <c r="Y214" s="85"/>
      <c r="AB214" s="85"/>
      <c r="AC214" s="85"/>
      <c r="AD214" s="85"/>
      <c r="AG214" s="85"/>
      <c r="AH214" s="85"/>
      <c r="AI214" s="85"/>
    </row>
    <row r="215" spans="18:35" x14ac:dyDescent="0.2">
      <c r="R215" s="85"/>
      <c r="S215" s="85"/>
      <c r="T215" s="85"/>
      <c r="W215" s="85"/>
      <c r="X215" s="85"/>
      <c r="Y215" s="85"/>
      <c r="AB215" s="85"/>
      <c r="AC215" s="85"/>
      <c r="AD215" s="85"/>
      <c r="AG215" s="85"/>
      <c r="AH215" s="85"/>
      <c r="AI215" s="85"/>
    </row>
    <row r="216" spans="18:35" x14ac:dyDescent="0.2">
      <c r="R216" s="85"/>
      <c r="S216" s="85"/>
      <c r="T216" s="85"/>
      <c r="W216" s="85"/>
      <c r="X216" s="85"/>
      <c r="Y216" s="85"/>
      <c r="AB216" s="85"/>
      <c r="AC216" s="85"/>
      <c r="AD216" s="85"/>
      <c r="AG216" s="85"/>
      <c r="AH216" s="85"/>
      <c r="AI216" s="85"/>
    </row>
    <row r="217" spans="18:35" x14ac:dyDescent="0.2">
      <c r="R217" s="85"/>
      <c r="S217" s="85"/>
      <c r="T217" s="85"/>
      <c r="W217" s="85"/>
      <c r="X217" s="85"/>
      <c r="Y217" s="85"/>
      <c r="AB217" s="85"/>
      <c r="AC217" s="85"/>
      <c r="AD217" s="85"/>
      <c r="AG217" s="85"/>
      <c r="AH217" s="85"/>
      <c r="AI217" s="85"/>
    </row>
    <row r="218" spans="18:35" x14ac:dyDescent="0.2">
      <c r="R218" s="85"/>
      <c r="S218" s="85"/>
      <c r="T218" s="85"/>
      <c r="W218" s="85"/>
      <c r="X218" s="85"/>
      <c r="Y218" s="85"/>
      <c r="AB218" s="85"/>
      <c r="AC218" s="85"/>
      <c r="AD218" s="85"/>
      <c r="AG218" s="85"/>
      <c r="AH218" s="85"/>
      <c r="AI218" s="85"/>
    </row>
    <row r="219" spans="18:35" x14ac:dyDescent="0.2">
      <c r="R219" s="85"/>
      <c r="S219" s="85"/>
      <c r="T219" s="85"/>
      <c r="W219" s="85"/>
      <c r="X219" s="85"/>
      <c r="Y219" s="85"/>
      <c r="AB219" s="85"/>
      <c r="AC219" s="85"/>
      <c r="AD219" s="85"/>
      <c r="AG219" s="85"/>
      <c r="AH219" s="85"/>
      <c r="AI219" s="85"/>
    </row>
    <row r="220" spans="18:35" x14ac:dyDescent="0.2">
      <c r="R220" s="85"/>
      <c r="S220" s="85"/>
      <c r="T220" s="85"/>
      <c r="W220" s="85"/>
      <c r="X220" s="85"/>
      <c r="Y220" s="85"/>
      <c r="AB220" s="85"/>
      <c r="AC220" s="85"/>
      <c r="AD220" s="85"/>
      <c r="AG220" s="85"/>
      <c r="AH220" s="85"/>
      <c r="AI220" s="85"/>
    </row>
    <row r="221" spans="18:35" x14ac:dyDescent="0.2">
      <c r="R221" s="85"/>
      <c r="S221" s="85"/>
      <c r="T221" s="85"/>
      <c r="W221" s="85"/>
      <c r="X221" s="85"/>
      <c r="Y221" s="85"/>
      <c r="AB221" s="85"/>
      <c r="AC221" s="85"/>
      <c r="AD221" s="85"/>
      <c r="AG221" s="85"/>
      <c r="AH221" s="85"/>
      <c r="AI221" s="85"/>
    </row>
    <row r="222" spans="18:35" x14ac:dyDescent="0.2">
      <c r="R222" s="85"/>
      <c r="S222" s="85"/>
      <c r="T222" s="85"/>
      <c r="W222" s="85"/>
      <c r="X222" s="85"/>
      <c r="Y222" s="85"/>
      <c r="AB222" s="85"/>
      <c r="AC222" s="85"/>
      <c r="AD222" s="85"/>
      <c r="AG222" s="85"/>
      <c r="AH222" s="85"/>
      <c r="AI222" s="85"/>
    </row>
    <row r="223" spans="18:35" x14ac:dyDescent="0.2">
      <c r="R223" s="85"/>
      <c r="S223" s="85"/>
      <c r="T223" s="85"/>
      <c r="W223" s="85"/>
      <c r="X223" s="85"/>
      <c r="Y223" s="85"/>
      <c r="AB223" s="85"/>
      <c r="AC223" s="85"/>
      <c r="AD223" s="85"/>
      <c r="AG223" s="85"/>
      <c r="AH223" s="85"/>
      <c r="AI223" s="85"/>
    </row>
    <row r="224" spans="18:35" x14ac:dyDescent="0.2">
      <c r="R224" s="85"/>
      <c r="S224" s="85"/>
      <c r="T224" s="85"/>
      <c r="W224" s="85"/>
      <c r="X224" s="85"/>
      <c r="Y224" s="85"/>
      <c r="AB224" s="85"/>
      <c r="AC224" s="85"/>
      <c r="AD224" s="85"/>
      <c r="AG224" s="85"/>
      <c r="AH224" s="85"/>
      <c r="AI224" s="85"/>
    </row>
    <row r="225" spans="18:35" x14ac:dyDescent="0.2">
      <c r="R225" s="85"/>
      <c r="S225" s="85"/>
      <c r="T225" s="85"/>
      <c r="W225" s="85"/>
      <c r="X225" s="85"/>
      <c r="Y225" s="85"/>
      <c r="AB225" s="85"/>
      <c r="AC225" s="85"/>
      <c r="AD225" s="85"/>
      <c r="AG225" s="85"/>
      <c r="AH225" s="85"/>
      <c r="AI225" s="85"/>
    </row>
    <row r="226" spans="18:35" x14ac:dyDescent="0.2">
      <c r="R226" s="85"/>
      <c r="S226" s="85"/>
      <c r="T226" s="85"/>
      <c r="W226" s="85"/>
      <c r="X226" s="85"/>
      <c r="Y226" s="85"/>
      <c r="AB226" s="85"/>
      <c r="AC226" s="85"/>
      <c r="AD226" s="85"/>
      <c r="AG226" s="85"/>
      <c r="AH226" s="85"/>
      <c r="AI226" s="85"/>
    </row>
    <row r="227" spans="18:35" x14ac:dyDescent="0.2">
      <c r="R227" s="85"/>
      <c r="S227" s="85"/>
      <c r="T227" s="85"/>
      <c r="W227" s="85"/>
      <c r="X227" s="85"/>
      <c r="Y227" s="85"/>
      <c r="AB227" s="85"/>
      <c r="AC227" s="85"/>
      <c r="AD227" s="85"/>
      <c r="AG227" s="85"/>
      <c r="AH227" s="85"/>
      <c r="AI227" s="85"/>
    </row>
    <row r="228" spans="18:35" x14ac:dyDescent="0.2">
      <c r="R228" s="85"/>
      <c r="S228" s="85"/>
      <c r="T228" s="85"/>
      <c r="W228" s="85"/>
      <c r="X228" s="85"/>
      <c r="Y228" s="85"/>
      <c r="AB228" s="85"/>
      <c r="AC228" s="85"/>
      <c r="AD228" s="85"/>
      <c r="AG228" s="85"/>
      <c r="AH228" s="85"/>
      <c r="AI228" s="85"/>
    </row>
    <row r="229" spans="18:35" x14ac:dyDescent="0.2">
      <c r="R229" s="85"/>
      <c r="S229" s="85"/>
      <c r="T229" s="85"/>
      <c r="W229" s="85"/>
      <c r="X229" s="85"/>
      <c r="Y229" s="85"/>
      <c r="AB229" s="85"/>
      <c r="AC229" s="85"/>
      <c r="AD229" s="85"/>
      <c r="AG229" s="85"/>
      <c r="AH229" s="85"/>
      <c r="AI229" s="85"/>
    </row>
    <row r="230" spans="18:35" x14ac:dyDescent="0.2">
      <c r="R230" s="85"/>
      <c r="S230" s="85"/>
      <c r="T230" s="85"/>
      <c r="W230" s="85"/>
      <c r="X230" s="85"/>
      <c r="Y230" s="85"/>
      <c r="AB230" s="85"/>
      <c r="AC230" s="85"/>
      <c r="AD230" s="85"/>
      <c r="AG230" s="85"/>
      <c r="AH230" s="85"/>
      <c r="AI230" s="85"/>
    </row>
    <row r="231" spans="18:35" x14ac:dyDescent="0.2">
      <c r="R231" s="85"/>
      <c r="S231" s="85"/>
      <c r="T231" s="85"/>
      <c r="W231" s="85"/>
      <c r="X231" s="85"/>
      <c r="Y231" s="85"/>
      <c r="AB231" s="85"/>
      <c r="AC231" s="85"/>
      <c r="AD231" s="85"/>
      <c r="AG231" s="85"/>
      <c r="AH231" s="85"/>
      <c r="AI231" s="85"/>
    </row>
    <row r="232" spans="18:35" x14ac:dyDescent="0.2">
      <c r="R232" s="85"/>
      <c r="S232" s="85"/>
      <c r="T232" s="85"/>
      <c r="W232" s="85"/>
      <c r="X232" s="85"/>
      <c r="Y232" s="85"/>
      <c r="AB232" s="85"/>
      <c r="AC232" s="85"/>
      <c r="AD232" s="85"/>
      <c r="AG232" s="85"/>
      <c r="AH232" s="85"/>
      <c r="AI232" s="85"/>
    </row>
    <row r="233" spans="18:35" x14ac:dyDescent="0.2">
      <c r="R233" s="85"/>
      <c r="S233" s="85"/>
      <c r="T233" s="85"/>
      <c r="W233" s="85"/>
      <c r="X233" s="85"/>
      <c r="Y233" s="85"/>
      <c r="AB233" s="85"/>
      <c r="AC233" s="85"/>
      <c r="AD233" s="85"/>
      <c r="AG233" s="85"/>
      <c r="AH233" s="85"/>
      <c r="AI233" s="85"/>
    </row>
    <row r="234" spans="18:35" x14ac:dyDescent="0.2">
      <c r="R234" s="85"/>
      <c r="S234" s="85"/>
      <c r="T234" s="85"/>
      <c r="W234" s="85"/>
      <c r="X234" s="85"/>
      <c r="Y234" s="85"/>
      <c r="AB234" s="85"/>
      <c r="AC234" s="85"/>
      <c r="AD234" s="85"/>
      <c r="AG234" s="85"/>
      <c r="AH234" s="85"/>
      <c r="AI234" s="85"/>
    </row>
    <row r="235" spans="18:35" x14ac:dyDescent="0.2">
      <c r="R235" s="85"/>
      <c r="S235" s="85"/>
      <c r="T235" s="85"/>
      <c r="W235" s="85"/>
      <c r="X235" s="85"/>
      <c r="Y235" s="85"/>
      <c r="AB235" s="85"/>
      <c r="AC235" s="85"/>
      <c r="AD235" s="85"/>
      <c r="AG235" s="85"/>
      <c r="AH235" s="85"/>
      <c r="AI235" s="85"/>
    </row>
    <row r="236" spans="18:35" x14ac:dyDescent="0.2">
      <c r="R236" s="85"/>
      <c r="S236" s="85"/>
      <c r="T236" s="85"/>
      <c r="W236" s="85"/>
      <c r="X236" s="85"/>
      <c r="Y236" s="85"/>
      <c r="AB236" s="85"/>
      <c r="AC236" s="85"/>
      <c r="AD236" s="85"/>
      <c r="AG236" s="85"/>
      <c r="AH236" s="85"/>
      <c r="AI236" s="85"/>
    </row>
    <row r="237" spans="18:35" x14ac:dyDescent="0.2">
      <c r="R237" s="85"/>
      <c r="S237" s="85"/>
      <c r="T237" s="85"/>
      <c r="W237" s="85"/>
      <c r="X237" s="85"/>
      <c r="Y237" s="85"/>
      <c r="AB237" s="85"/>
      <c r="AC237" s="85"/>
      <c r="AD237" s="85"/>
      <c r="AG237" s="85"/>
      <c r="AH237" s="85"/>
      <c r="AI237" s="85"/>
    </row>
    <row r="238" spans="18:35" x14ac:dyDescent="0.2">
      <c r="R238" s="85"/>
      <c r="S238" s="85"/>
      <c r="T238" s="85"/>
      <c r="W238" s="85"/>
      <c r="X238" s="85"/>
      <c r="Y238" s="85"/>
      <c r="AB238" s="85"/>
      <c r="AC238" s="85"/>
      <c r="AD238" s="85"/>
      <c r="AG238" s="85"/>
      <c r="AH238" s="85"/>
      <c r="AI238" s="85"/>
    </row>
    <row r="239" spans="18:35" x14ac:dyDescent="0.2">
      <c r="R239" s="85"/>
      <c r="S239" s="85"/>
      <c r="T239" s="85"/>
      <c r="W239" s="85"/>
      <c r="X239" s="85"/>
      <c r="Y239" s="85"/>
      <c r="AB239" s="85"/>
      <c r="AC239" s="85"/>
      <c r="AD239" s="85"/>
      <c r="AG239" s="85"/>
      <c r="AH239" s="85"/>
      <c r="AI239" s="85"/>
    </row>
    <row r="240" spans="18:35" x14ac:dyDescent="0.2">
      <c r="R240" s="85"/>
      <c r="S240" s="85"/>
      <c r="T240" s="85"/>
      <c r="W240" s="85"/>
      <c r="X240" s="85"/>
      <c r="Y240" s="85"/>
      <c r="AB240" s="85"/>
      <c r="AC240" s="85"/>
      <c r="AD240" s="85"/>
      <c r="AG240" s="85"/>
      <c r="AH240" s="85"/>
      <c r="AI240" s="85"/>
    </row>
    <row r="241" spans="18:35" x14ac:dyDescent="0.2">
      <c r="R241" s="85"/>
      <c r="S241" s="85"/>
      <c r="T241" s="85"/>
      <c r="W241" s="85"/>
      <c r="X241" s="85"/>
      <c r="Y241" s="85"/>
      <c r="AB241" s="85"/>
      <c r="AC241" s="85"/>
      <c r="AD241" s="85"/>
      <c r="AG241" s="85"/>
      <c r="AH241" s="85"/>
      <c r="AI241" s="85"/>
    </row>
    <row r="242" spans="18:35" x14ac:dyDescent="0.2">
      <c r="R242" s="85"/>
      <c r="S242" s="85"/>
      <c r="T242" s="85"/>
      <c r="W242" s="85"/>
      <c r="X242" s="85"/>
      <c r="Y242" s="85"/>
      <c r="AB242" s="85"/>
      <c r="AC242" s="85"/>
      <c r="AD242" s="85"/>
      <c r="AG242" s="85"/>
      <c r="AH242" s="85"/>
      <c r="AI242" s="85"/>
    </row>
    <row r="243" spans="18:35" x14ac:dyDescent="0.2">
      <c r="R243" s="85"/>
      <c r="S243" s="85"/>
      <c r="T243" s="85"/>
      <c r="W243" s="85"/>
      <c r="X243" s="85"/>
      <c r="Y243" s="85"/>
      <c r="AB243" s="85"/>
      <c r="AC243" s="85"/>
      <c r="AD243" s="85"/>
      <c r="AG243" s="85"/>
      <c r="AH243" s="85"/>
      <c r="AI243" s="85"/>
    </row>
    <row r="244" spans="18:35" x14ac:dyDescent="0.2">
      <c r="R244" s="85"/>
      <c r="S244" s="85"/>
      <c r="T244" s="85"/>
      <c r="W244" s="85"/>
      <c r="X244" s="85"/>
      <c r="Y244" s="85"/>
      <c r="AB244" s="85"/>
      <c r="AC244" s="85"/>
      <c r="AD244" s="85"/>
      <c r="AG244" s="85"/>
      <c r="AH244" s="85"/>
      <c r="AI244" s="85"/>
    </row>
    <row r="245" spans="18:35" x14ac:dyDescent="0.2">
      <c r="R245" s="85"/>
      <c r="S245" s="85"/>
      <c r="T245" s="85"/>
      <c r="W245" s="85"/>
      <c r="X245" s="85"/>
      <c r="Y245" s="85"/>
      <c r="AB245" s="85"/>
      <c r="AC245" s="85"/>
      <c r="AD245" s="85"/>
      <c r="AG245" s="85"/>
      <c r="AH245" s="85"/>
      <c r="AI245" s="85"/>
    </row>
    <row r="246" spans="18:35" x14ac:dyDescent="0.2">
      <c r="R246" s="85"/>
      <c r="S246" s="85"/>
      <c r="T246" s="85"/>
      <c r="W246" s="85"/>
      <c r="X246" s="85"/>
      <c r="Y246" s="85"/>
      <c r="AB246" s="85"/>
      <c r="AC246" s="85"/>
      <c r="AD246" s="85"/>
      <c r="AG246" s="85"/>
      <c r="AH246" s="85"/>
      <c r="AI246" s="85"/>
    </row>
    <row r="247" spans="18:35" x14ac:dyDescent="0.2">
      <c r="R247" s="85"/>
      <c r="S247" s="85"/>
      <c r="T247" s="85"/>
      <c r="W247" s="85"/>
      <c r="X247" s="85"/>
      <c r="Y247" s="85"/>
      <c r="AB247" s="85"/>
      <c r="AC247" s="85"/>
      <c r="AD247" s="85"/>
      <c r="AG247" s="85"/>
      <c r="AH247" s="85"/>
      <c r="AI247" s="85"/>
    </row>
    <row r="248" spans="18:35" x14ac:dyDescent="0.2">
      <c r="R248" s="85"/>
      <c r="S248" s="85"/>
      <c r="T248" s="85"/>
      <c r="W248" s="85"/>
      <c r="X248" s="85"/>
      <c r="Y248" s="85"/>
      <c r="AB248" s="85"/>
      <c r="AC248" s="85"/>
      <c r="AD248" s="85"/>
      <c r="AG248" s="85"/>
      <c r="AH248" s="85"/>
      <c r="AI248" s="85"/>
    </row>
    <row r="249" spans="18:35" x14ac:dyDescent="0.2">
      <c r="R249" s="85"/>
      <c r="S249" s="85"/>
      <c r="T249" s="85"/>
      <c r="W249" s="85"/>
      <c r="X249" s="85"/>
      <c r="Y249" s="85"/>
      <c r="AB249" s="85"/>
      <c r="AC249" s="85"/>
      <c r="AD249" s="85"/>
      <c r="AG249" s="85"/>
      <c r="AH249" s="85"/>
      <c r="AI249" s="85"/>
    </row>
    <row r="250" spans="18:35" x14ac:dyDescent="0.2">
      <c r="R250" s="85"/>
      <c r="S250" s="85"/>
      <c r="T250" s="85"/>
      <c r="W250" s="85"/>
      <c r="X250" s="85"/>
      <c r="Y250" s="85"/>
      <c r="AB250" s="85"/>
      <c r="AC250" s="85"/>
      <c r="AD250" s="85"/>
      <c r="AG250" s="85"/>
      <c r="AH250" s="85"/>
      <c r="AI250" s="85"/>
    </row>
    <row r="251" spans="18:35" x14ac:dyDescent="0.2">
      <c r="R251" s="85"/>
      <c r="S251" s="85"/>
      <c r="T251" s="85"/>
      <c r="W251" s="85"/>
      <c r="X251" s="85"/>
      <c r="Y251" s="85"/>
      <c r="AB251" s="85"/>
      <c r="AC251" s="85"/>
      <c r="AD251" s="85"/>
      <c r="AG251" s="85"/>
      <c r="AH251" s="85"/>
      <c r="AI251" s="85"/>
    </row>
    <row r="252" spans="18:35" x14ac:dyDescent="0.2">
      <c r="R252" s="85"/>
      <c r="S252" s="85"/>
      <c r="T252" s="85"/>
      <c r="W252" s="85"/>
      <c r="X252" s="85"/>
      <c r="Y252" s="85"/>
      <c r="AB252" s="85"/>
      <c r="AC252" s="85"/>
      <c r="AD252" s="85"/>
      <c r="AG252" s="85"/>
      <c r="AH252" s="85"/>
      <c r="AI252" s="85"/>
    </row>
    <row r="253" spans="18:35" x14ac:dyDescent="0.2">
      <c r="R253" s="85"/>
      <c r="S253" s="85"/>
      <c r="T253" s="85"/>
      <c r="W253" s="85"/>
      <c r="X253" s="85"/>
      <c r="Y253" s="85"/>
      <c r="AB253" s="85"/>
      <c r="AC253" s="85"/>
      <c r="AD253" s="85"/>
      <c r="AG253" s="85"/>
      <c r="AH253" s="85"/>
      <c r="AI253" s="85"/>
    </row>
    <row r="254" spans="18:35" x14ac:dyDescent="0.2">
      <c r="R254" s="85"/>
      <c r="S254" s="85"/>
      <c r="T254" s="85"/>
      <c r="W254" s="85"/>
      <c r="X254" s="85"/>
      <c r="Y254" s="85"/>
      <c r="AB254" s="85"/>
      <c r="AC254" s="85"/>
      <c r="AD254" s="85"/>
      <c r="AG254" s="85"/>
      <c r="AH254" s="85"/>
      <c r="AI254" s="85"/>
    </row>
    <row r="255" spans="18:35" x14ac:dyDescent="0.2">
      <c r="R255" s="85"/>
      <c r="S255" s="85"/>
      <c r="T255" s="85"/>
      <c r="W255" s="85"/>
      <c r="X255" s="85"/>
      <c r="Y255" s="85"/>
      <c r="AB255" s="85"/>
      <c r="AC255" s="85"/>
      <c r="AD255" s="85"/>
      <c r="AG255" s="85"/>
      <c r="AH255" s="85"/>
      <c r="AI255" s="85"/>
    </row>
    <row r="256" spans="18:35" x14ac:dyDescent="0.2">
      <c r="R256" s="85"/>
      <c r="S256" s="85"/>
      <c r="T256" s="85"/>
      <c r="W256" s="85"/>
      <c r="X256" s="85"/>
      <c r="Y256" s="85"/>
      <c r="AB256" s="85"/>
      <c r="AC256" s="85"/>
      <c r="AD256" s="85"/>
      <c r="AG256" s="85"/>
      <c r="AH256" s="85"/>
      <c r="AI256" s="85"/>
    </row>
    <row r="257" spans="18:35" x14ac:dyDescent="0.2">
      <c r="R257" s="85"/>
      <c r="S257" s="85"/>
      <c r="T257" s="85"/>
      <c r="W257" s="85"/>
      <c r="X257" s="85"/>
      <c r="Y257" s="85"/>
      <c r="AB257" s="85"/>
      <c r="AC257" s="85"/>
      <c r="AD257" s="85"/>
      <c r="AG257" s="85"/>
      <c r="AH257" s="85"/>
      <c r="AI257" s="85"/>
    </row>
    <row r="258" spans="18:35" x14ac:dyDescent="0.2">
      <c r="R258" s="85"/>
      <c r="S258" s="85"/>
      <c r="T258" s="85"/>
      <c r="W258" s="85"/>
      <c r="X258" s="85"/>
      <c r="Y258" s="85"/>
      <c r="AB258" s="85"/>
      <c r="AC258" s="85"/>
      <c r="AD258" s="85"/>
      <c r="AG258" s="85"/>
      <c r="AH258" s="85"/>
      <c r="AI258" s="85"/>
    </row>
    <row r="259" spans="18:35" x14ac:dyDescent="0.2">
      <c r="R259" s="85"/>
      <c r="S259" s="85"/>
      <c r="T259" s="85"/>
      <c r="W259" s="85"/>
      <c r="X259" s="85"/>
      <c r="Y259" s="85"/>
      <c r="AB259" s="85"/>
      <c r="AC259" s="85"/>
      <c r="AD259" s="85"/>
      <c r="AG259" s="85"/>
      <c r="AH259" s="85"/>
      <c r="AI259" s="85"/>
    </row>
    <row r="260" spans="18:35" x14ac:dyDescent="0.2">
      <c r="R260" s="85"/>
      <c r="S260" s="85"/>
      <c r="T260" s="85"/>
      <c r="W260" s="85"/>
      <c r="X260" s="85"/>
      <c r="Y260" s="85"/>
      <c r="AB260" s="85"/>
      <c r="AC260" s="85"/>
      <c r="AD260" s="85"/>
      <c r="AG260" s="85"/>
      <c r="AH260" s="85"/>
      <c r="AI260" s="85"/>
    </row>
    <row r="261" spans="18:35" x14ac:dyDescent="0.2">
      <c r="R261" s="85"/>
      <c r="S261" s="85"/>
      <c r="T261" s="85"/>
      <c r="W261" s="85"/>
      <c r="X261" s="85"/>
      <c r="Y261" s="85"/>
      <c r="AB261" s="85"/>
      <c r="AC261" s="85"/>
      <c r="AD261" s="85"/>
      <c r="AG261" s="85"/>
      <c r="AH261" s="85"/>
      <c r="AI261" s="85"/>
    </row>
    <row r="262" spans="18:35" x14ac:dyDescent="0.2">
      <c r="R262" s="85"/>
      <c r="S262" s="85"/>
      <c r="T262" s="85"/>
      <c r="W262" s="85"/>
      <c r="X262" s="85"/>
      <c r="Y262" s="85"/>
      <c r="AB262" s="85"/>
      <c r="AC262" s="85"/>
      <c r="AD262" s="85"/>
      <c r="AG262" s="85"/>
      <c r="AH262" s="85"/>
      <c r="AI262" s="85"/>
    </row>
    <row r="263" spans="18:35" x14ac:dyDescent="0.2">
      <c r="R263" s="85"/>
      <c r="S263" s="85"/>
      <c r="T263" s="85"/>
      <c r="W263" s="85"/>
      <c r="X263" s="85"/>
      <c r="Y263" s="85"/>
      <c r="AB263" s="85"/>
      <c r="AC263" s="85"/>
      <c r="AD263" s="85"/>
      <c r="AG263" s="85"/>
      <c r="AH263" s="85"/>
      <c r="AI263" s="85"/>
    </row>
    <row r="264" spans="18:35" x14ac:dyDescent="0.2">
      <c r="R264" s="85"/>
      <c r="S264" s="85"/>
      <c r="T264" s="85"/>
      <c r="W264" s="85"/>
      <c r="X264" s="85"/>
      <c r="Y264" s="85"/>
      <c r="AB264" s="85"/>
      <c r="AC264" s="85"/>
      <c r="AD264" s="85"/>
      <c r="AG264" s="85"/>
      <c r="AH264" s="85"/>
      <c r="AI264" s="85"/>
    </row>
    <row r="265" spans="18:35" x14ac:dyDescent="0.2">
      <c r="R265" s="85"/>
      <c r="S265" s="85"/>
      <c r="T265" s="85"/>
      <c r="W265" s="85"/>
      <c r="X265" s="85"/>
      <c r="Y265" s="85"/>
      <c r="AB265" s="85"/>
      <c r="AC265" s="85"/>
      <c r="AD265" s="85"/>
      <c r="AG265" s="85"/>
      <c r="AH265" s="85"/>
      <c r="AI265" s="85"/>
    </row>
    <row r="266" spans="18:35" x14ac:dyDescent="0.2">
      <c r="R266" s="85"/>
      <c r="S266" s="85"/>
      <c r="T266" s="85"/>
      <c r="W266" s="85"/>
      <c r="X266" s="85"/>
      <c r="Y266" s="85"/>
      <c r="AB266" s="85"/>
      <c r="AC266" s="85"/>
      <c r="AD266" s="85"/>
      <c r="AG266" s="85"/>
      <c r="AH266" s="85"/>
      <c r="AI266" s="85"/>
    </row>
    <row r="267" spans="18:35" x14ac:dyDescent="0.2">
      <c r="R267" s="85"/>
      <c r="S267" s="85"/>
      <c r="T267" s="85"/>
      <c r="W267" s="85"/>
      <c r="X267" s="85"/>
      <c r="Y267" s="85"/>
      <c r="AB267" s="85"/>
      <c r="AC267" s="85"/>
      <c r="AD267" s="85"/>
      <c r="AG267" s="85"/>
      <c r="AH267" s="85"/>
      <c r="AI267" s="85"/>
    </row>
    <row r="268" spans="18:35" x14ac:dyDescent="0.2">
      <c r="R268" s="85"/>
      <c r="S268" s="85"/>
      <c r="T268" s="85"/>
      <c r="W268" s="85"/>
      <c r="X268" s="85"/>
      <c r="Y268" s="85"/>
      <c r="AB268" s="85"/>
      <c r="AC268" s="85"/>
      <c r="AD268" s="85"/>
      <c r="AG268" s="85"/>
      <c r="AH268" s="85"/>
      <c r="AI268" s="85"/>
    </row>
    <row r="269" spans="18:35" x14ac:dyDescent="0.2">
      <c r="R269" s="85"/>
      <c r="S269" s="85"/>
      <c r="T269" s="85"/>
      <c r="W269" s="85"/>
      <c r="X269" s="85"/>
      <c r="Y269" s="85"/>
      <c r="AB269" s="85"/>
      <c r="AC269" s="85"/>
      <c r="AD269" s="85"/>
      <c r="AG269" s="85"/>
      <c r="AH269" s="85"/>
      <c r="AI269" s="85"/>
    </row>
    <row r="270" spans="18:35" x14ac:dyDescent="0.2">
      <c r="R270" s="85"/>
      <c r="S270" s="85"/>
      <c r="T270" s="85"/>
      <c r="W270" s="85"/>
      <c r="X270" s="85"/>
      <c r="Y270" s="85"/>
      <c r="AB270" s="85"/>
      <c r="AC270" s="85"/>
      <c r="AD270" s="85"/>
      <c r="AG270" s="85"/>
      <c r="AH270" s="85"/>
      <c r="AI270" s="85"/>
    </row>
    <row r="271" spans="18:35" x14ac:dyDescent="0.2">
      <c r="R271" s="85"/>
      <c r="S271" s="85"/>
      <c r="T271" s="85"/>
      <c r="W271" s="85"/>
      <c r="X271" s="85"/>
      <c r="Y271" s="85"/>
      <c r="AB271" s="85"/>
      <c r="AC271" s="85"/>
      <c r="AD271" s="85"/>
      <c r="AG271" s="85"/>
      <c r="AH271" s="85"/>
      <c r="AI271" s="85"/>
    </row>
    <row r="272" spans="18:35" x14ac:dyDescent="0.2">
      <c r="R272" s="85"/>
      <c r="S272" s="85"/>
      <c r="T272" s="85"/>
      <c r="W272" s="85"/>
      <c r="X272" s="85"/>
      <c r="Y272" s="85"/>
      <c r="AB272" s="85"/>
      <c r="AC272" s="85"/>
      <c r="AD272" s="85"/>
      <c r="AG272" s="85"/>
      <c r="AH272" s="85"/>
      <c r="AI272" s="85"/>
    </row>
    <row r="273" spans="18:35" x14ac:dyDescent="0.2">
      <c r="R273" s="85"/>
      <c r="S273" s="85"/>
      <c r="T273" s="85"/>
      <c r="W273" s="85"/>
      <c r="X273" s="85"/>
      <c r="Y273" s="85"/>
      <c r="AB273" s="85"/>
      <c r="AC273" s="85"/>
      <c r="AD273" s="85"/>
      <c r="AG273" s="85"/>
      <c r="AH273" s="85"/>
      <c r="AI273" s="85"/>
    </row>
    <row r="274" spans="18:35" x14ac:dyDescent="0.2">
      <c r="R274" s="85"/>
      <c r="S274" s="85"/>
      <c r="T274" s="85"/>
      <c r="W274" s="85"/>
      <c r="X274" s="85"/>
      <c r="Y274" s="85"/>
      <c r="AB274" s="85"/>
      <c r="AC274" s="85"/>
      <c r="AD274" s="85"/>
      <c r="AG274" s="85"/>
      <c r="AH274" s="85"/>
      <c r="AI274" s="85"/>
    </row>
    <row r="275" spans="18:35" x14ac:dyDescent="0.2">
      <c r="R275" s="85"/>
      <c r="S275" s="85"/>
      <c r="T275" s="85"/>
      <c r="W275" s="85"/>
      <c r="X275" s="85"/>
      <c r="Y275" s="85"/>
      <c r="AB275" s="85"/>
      <c r="AC275" s="85"/>
      <c r="AD275" s="85"/>
      <c r="AG275" s="85"/>
      <c r="AH275" s="85"/>
      <c r="AI275" s="85"/>
    </row>
    <row r="276" spans="18:35" x14ac:dyDescent="0.2">
      <c r="R276" s="85"/>
      <c r="S276" s="85"/>
      <c r="T276" s="85"/>
      <c r="W276" s="85"/>
      <c r="X276" s="85"/>
      <c r="Y276" s="85"/>
      <c r="AB276" s="85"/>
      <c r="AC276" s="85"/>
      <c r="AD276" s="85"/>
      <c r="AG276" s="85"/>
      <c r="AH276" s="85"/>
      <c r="AI276" s="85"/>
    </row>
    <row r="277" spans="18:35" x14ac:dyDescent="0.2">
      <c r="R277" s="85"/>
      <c r="S277" s="85"/>
      <c r="T277" s="85"/>
      <c r="W277" s="85"/>
      <c r="X277" s="85"/>
      <c r="Y277" s="85"/>
      <c r="AB277" s="85"/>
      <c r="AC277" s="85"/>
      <c r="AD277" s="85"/>
      <c r="AG277" s="85"/>
      <c r="AH277" s="85"/>
      <c r="AI277" s="85"/>
    </row>
    <row r="278" spans="18:35" x14ac:dyDescent="0.2">
      <c r="R278" s="85"/>
      <c r="S278" s="85"/>
      <c r="T278" s="85"/>
      <c r="W278" s="85"/>
      <c r="X278" s="85"/>
      <c r="Y278" s="85"/>
      <c r="AB278" s="85"/>
      <c r="AC278" s="85"/>
      <c r="AD278" s="85"/>
      <c r="AG278" s="85"/>
      <c r="AH278" s="85"/>
      <c r="AI278" s="85"/>
    </row>
    <row r="279" spans="18:35" x14ac:dyDescent="0.2">
      <c r="R279" s="85"/>
      <c r="S279" s="85"/>
      <c r="T279" s="85"/>
      <c r="W279" s="85"/>
      <c r="X279" s="85"/>
      <c r="Y279" s="85"/>
      <c r="AB279" s="85"/>
      <c r="AC279" s="85"/>
      <c r="AD279" s="85"/>
      <c r="AG279" s="85"/>
      <c r="AH279" s="85"/>
      <c r="AI279" s="85"/>
    </row>
    <row r="280" spans="18:35" x14ac:dyDescent="0.2">
      <c r="R280" s="85"/>
      <c r="S280" s="85"/>
      <c r="T280" s="85"/>
      <c r="W280" s="85"/>
      <c r="X280" s="85"/>
      <c r="Y280" s="85"/>
      <c r="AB280" s="85"/>
      <c r="AC280" s="85"/>
      <c r="AD280" s="85"/>
      <c r="AG280" s="85"/>
      <c r="AH280" s="85"/>
      <c r="AI280" s="85"/>
    </row>
    <row r="281" spans="18:35" x14ac:dyDescent="0.2">
      <c r="R281" s="85"/>
      <c r="S281" s="85"/>
      <c r="T281" s="85"/>
      <c r="W281" s="85"/>
      <c r="X281" s="85"/>
      <c r="Y281" s="85"/>
      <c r="AB281" s="85"/>
      <c r="AC281" s="85"/>
      <c r="AD281" s="85"/>
      <c r="AG281" s="85"/>
      <c r="AH281" s="85"/>
      <c r="AI281" s="85"/>
    </row>
    <row r="282" spans="18:35" x14ac:dyDescent="0.2">
      <c r="R282" s="85"/>
      <c r="S282" s="85"/>
      <c r="T282" s="85"/>
      <c r="W282" s="85"/>
      <c r="X282" s="85"/>
      <c r="Y282" s="85"/>
      <c r="AB282" s="85"/>
      <c r="AC282" s="85"/>
      <c r="AD282" s="85"/>
      <c r="AG282" s="85"/>
      <c r="AH282" s="85"/>
      <c r="AI282" s="85"/>
    </row>
    <row r="283" spans="18:35" x14ac:dyDescent="0.2">
      <c r="R283" s="85"/>
      <c r="S283" s="85"/>
      <c r="T283" s="85"/>
      <c r="W283" s="85"/>
      <c r="X283" s="85"/>
      <c r="Y283" s="85"/>
      <c r="AB283" s="85"/>
      <c r="AC283" s="85"/>
      <c r="AD283" s="85"/>
      <c r="AG283" s="85"/>
      <c r="AH283" s="85"/>
      <c r="AI283" s="85"/>
    </row>
    <row r="284" spans="18:35" x14ac:dyDescent="0.2">
      <c r="R284" s="85"/>
      <c r="S284" s="85"/>
      <c r="T284" s="85"/>
      <c r="W284" s="85"/>
      <c r="X284" s="85"/>
      <c r="Y284" s="85"/>
      <c r="AB284" s="85"/>
      <c r="AC284" s="85"/>
      <c r="AD284" s="85"/>
      <c r="AG284" s="85"/>
      <c r="AH284" s="85"/>
      <c r="AI284" s="85"/>
    </row>
    <row r="285" spans="18:35" x14ac:dyDescent="0.2">
      <c r="R285" s="85"/>
      <c r="S285" s="85"/>
      <c r="T285" s="85"/>
      <c r="W285" s="85"/>
      <c r="X285" s="85"/>
      <c r="Y285" s="85"/>
      <c r="AB285" s="85"/>
      <c r="AC285" s="85"/>
      <c r="AD285" s="85"/>
      <c r="AG285" s="85"/>
      <c r="AH285" s="85"/>
      <c r="AI285" s="85"/>
    </row>
    <row r="286" spans="18:35" x14ac:dyDescent="0.2">
      <c r="R286" s="85"/>
      <c r="S286" s="85"/>
      <c r="T286" s="85"/>
      <c r="W286" s="85"/>
      <c r="X286" s="85"/>
      <c r="Y286" s="85"/>
      <c r="AB286" s="85"/>
      <c r="AC286" s="85"/>
      <c r="AD286" s="85"/>
      <c r="AG286" s="85"/>
      <c r="AH286" s="85"/>
      <c r="AI286" s="85"/>
    </row>
    <row r="287" spans="18:35" x14ac:dyDescent="0.2">
      <c r="R287" s="85"/>
      <c r="S287" s="85"/>
      <c r="T287" s="85"/>
      <c r="W287" s="85"/>
      <c r="X287" s="85"/>
      <c r="Y287" s="85"/>
      <c r="AB287" s="85"/>
      <c r="AC287" s="85"/>
      <c r="AD287" s="85"/>
      <c r="AG287" s="85"/>
      <c r="AH287" s="85"/>
      <c r="AI287" s="85"/>
    </row>
    <row r="288" spans="18:35" x14ac:dyDescent="0.2">
      <c r="R288" s="85"/>
      <c r="S288" s="85"/>
      <c r="T288" s="85"/>
      <c r="W288" s="85"/>
      <c r="X288" s="85"/>
      <c r="Y288" s="85"/>
      <c r="AB288" s="85"/>
      <c r="AC288" s="85"/>
      <c r="AD288" s="85"/>
      <c r="AG288" s="85"/>
      <c r="AH288" s="85"/>
      <c r="AI288" s="85"/>
    </row>
    <row r="289" spans="18:35" x14ac:dyDescent="0.2">
      <c r="R289" s="85"/>
      <c r="S289" s="85"/>
      <c r="T289" s="85"/>
      <c r="W289" s="85"/>
      <c r="X289" s="85"/>
      <c r="Y289" s="85"/>
      <c r="AB289" s="85"/>
      <c r="AC289" s="85"/>
      <c r="AD289" s="85"/>
      <c r="AG289" s="85"/>
      <c r="AH289" s="85"/>
      <c r="AI289" s="85"/>
    </row>
    <row r="290" spans="18:35" x14ac:dyDescent="0.2">
      <c r="R290" s="85"/>
      <c r="S290" s="85"/>
      <c r="T290" s="85"/>
      <c r="W290" s="85"/>
      <c r="X290" s="85"/>
      <c r="Y290" s="85"/>
      <c r="AB290" s="85"/>
      <c r="AC290" s="85"/>
      <c r="AD290" s="85"/>
      <c r="AG290" s="85"/>
      <c r="AH290" s="85"/>
      <c r="AI290" s="85"/>
    </row>
    <row r="291" spans="18:35" x14ac:dyDescent="0.2">
      <c r="R291" s="85"/>
      <c r="S291" s="85"/>
      <c r="T291" s="85"/>
      <c r="W291" s="85"/>
      <c r="X291" s="85"/>
      <c r="Y291" s="85"/>
      <c r="AB291" s="85"/>
      <c r="AC291" s="85"/>
      <c r="AD291" s="85"/>
      <c r="AG291" s="85"/>
      <c r="AH291" s="85"/>
      <c r="AI291" s="85"/>
    </row>
    <row r="292" spans="18:35" x14ac:dyDescent="0.2">
      <c r="R292" s="85"/>
      <c r="S292" s="85"/>
      <c r="T292" s="85"/>
      <c r="W292" s="85"/>
      <c r="X292" s="85"/>
      <c r="Y292" s="85"/>
      <c r="AB292" s="85"/>
      <c r="AC292" s="85"/>
      <c r="AD292" s="85"/>
      <c r="AG292" s="85"/>
      <c r="AH292" s="85"/>
      <c r="AI292" s="85"/>
    </row>
    <row r="293" spans="18:35" x14ac:dyDescent="0.2">
      <c r="R293" s="85"/>
      <c r="S293" s="85"/>
      <c r="T293" s="85"/>
      <c r="W293" s="85"/>
      <c r="X293" s="85"/>
      <c r="Y293" s="85"/>
      <c r="AB293" s="85"/>
      <c r="AC293" s="85"/>
      <c r="AD293" s="85"/>
      <c r="AG293" s="85"/>
      <c r="AH293" s="85"/>
      <c r="AI293" s="85"/>
    </row>
    <row r="294" spans="18:35" x14ac:dyDescent="0.2">
      <c r="R294" s="85"/>
      <c r="S294" s="85"/>
      <c r="T294" s="85"/>
      <c r="W294" s="85"/>
      <c r="X294" s="85"/>
      <c r="Y294" s="85"/>
      <c r="AB294" s="85"/>
      <c r="AC294" s="85"/>
      <c r="AD294" s="85"/>
      <c r="AG294" s="85"/>
      <c r="AH294" s="85"/>
      <c r="AI294" s="85"/>
    </row>
    <row r="295" spans="18:35" x14ac:dyDescent="0.2">
      <c r="R295" s="85"/>
      <c r="S295" s="85"/>
      <c r="T295" s="85"/>
      <c r="W295" s="85"/>
      <c r="X295" s="85"/>
      <c r="Y295" s="85"/>
      <c r="AB295" s="85"/>
      <c r="AC295" s="85"/>
      <c r="AD295" s="85"/>
      <c r="AG295" s="85"/>
      <c r="AH295" s="85"/>
      <c r="AI295" s="85"/>
    </row>
    <row r="296" spans="18:35" x14ac:dyDescent="0.2">
      <c r="R296" s="85"/>
      <c r="S296" s="85"/>
      <c r="T296" s="85"/>
      <c r="W296" s="85"/>
      <c r="X296" s="85"/>
      <c r="Y296" s="85"/>
      <c r="AB296" s="85"/>
      <c r="AC296" s="85"/>
      <c r="AD296" s="85"/>
      <c r="AG296" s="85"/>
      <c r="AH296" s="85"/>
      <c r="AI296" s="85"/>
    </row>
    <row r="297" spans="18:35" x14ac:dyDescent="0.2">
      <c r="R297" s="85"/>
      <c r="S297" s="85"/>
      <c r="T297" s="85"/>
      <c r="W297" s="85"/>
      <c r="X297" s="85"/>
      <c r="Y297" s="85"/>
      <c r="AB297" s="85"/>
      <c r="AC297" s="85"/>
      <c r="AD297" s="85"/>
      <c r="AG297" s="85"/>
      <c r="AH297" s="85"/>
      <c r="AI297" s="85"/>
    </row>
    <row r="298" spans="18:35" x14ac:dyDescent="0.2">
      <c r="R298" s="85"/>
      <c r="S298" s="85"/>
      <c r="T298" s="85"/>
      <c r="W298" s="85"/>
      <c r="X298" s="85"/>
      <c r="Y298" s="85"/>
      <c r="AB298" s="85"/>
      <c r="AC298" s="85"/>
      <c r="AD298" s="85"/>
      <c r="AG298" s="85"/>
      <c r="AH298" s="85"/>
      <c r="AI298" s="85"/>
    </row>
    <row r="299" spans="18:35" x14ac:dyDescent="0.2">
      <c r="R299" s="85"/>
      <c r="S299" s="85"/>
      <c r="T299" s="85"/>
      <c r="W299" s="85"/>
      <c r="X299" s="85"/>
      <c r="Y299" s="85"/>
      <c r="AB299" s="85"/>
      <c r="AC299" s="85"/>
      <c r="AD299" s="85"/>
      <c r="AG299" s="85"/>
      <c r="AH299" s="85"/>
      <c r="AI299" s="85"/>
    </row>
    <row r="300" spans="18:35" x14ac:dyDescent="0.2">
      <c r="R300" s="85"/>
      <c r="S300" s="85"/>
      <c r="T300" s="85"/>
      <c r="W300" s="85"/>
      <c r="X300" s="85"/>
      <c r="Y300" s="85"/>
      <c r="AB300" s="85"/>
      <c r="AC300" s="85"/>
      <c r="AD300" s="85"/>
      <c r="AG300" s="85"/>
      <c r="AH300" s="85"/>
      <c r="AI300" s="85"/>
    </row>
    <row r="301" spans="18:35" x14ac:dyDescent="0.2">
      <c r="R301" s="85"/>
      <c r="S301" s="85"/>
      <c r="T301" s="85"/>
      <c r="W301" s="85"/>
      <c r="X301" s="85"/>
      <c r="Y301" s="85"/>
      <c r="AB301" s="85"/>
      <c r="AC301" s="85"/>
      <c r="AD301" s="85"/>
      <c r="AG301" s="85"/>
      <c r="AH301" s="85"/>
      <c r="AI301" s="85"/>
    </row>
    <row r="302" spans="18:35" x14ac:dyDescent="0.2">
      <c r="R302" s="85"/>
      <c r="S302" s="85"/>
      <c r="T302" s="85"/>
      <c r="W302" s="85"/>
      <c r="X302" s="85"/>
      <c r="Y302" s="85"/>
      <c r="AB302" s="85"/>
      <c r="AC302" s="85"/>
      <c r="AD302" s="85"/>
      <c r="AG302" s="85"/>
      <c r="AH302" s="85"/>
      <c r="AI302" s="85"/>
    </row>
    <row r="303" spans="18:35" x14ac:dyDescent="0.2">
      <c r="R303" s="85"/>
      <c r="S303" s="85"/>
      <c r="T303" s="85"/>
      <c r="W303" s="85"/>
      <c r="X303" s="85"/>
      <c r="Y303" s="85"/>
      <c r="AB303" s="85"/>
      <c r="AC303" s="85"/>
      <c r="AD303" s="85"/>
      <c r="AG303" s="85"/>
      <c r="AH303" s="85"/>
      <c r="AI303" s="85"/>
    </row>
    <row r="304" spans="18:35" x14ac:dyDescent="0.2">
      <c r="R304" s="85"/>
      <c r="S304" s="85"/>
      <c r="T304" s="85"/>
      <c r="W304" s="85"/>
      <c r="X304" s="85"/>
      <c r="Y304" s="85"/>
      <c r="AB304" s="85"/>
      <c r="AC304" s="85"/>
      <c r="AD304" s="85"/>
      <c r="AG304" s="85"/>
      <c r="AH304" s="85"/>
      <c r="AI304" s="85"/>
    </row>
    <row r="305" spans="18:35" x14ac:dyDescent="0.2">
      <c r="R305" s="85"/>
      <c r="S305" s="85"/>
      <c r="T305" s="85"/>
      <c r="W305" s="85"/>
      <c r="X305" s="85"/>
      <c r="Y305" s="85"/>
      <c r="AB305" s="85"/>
      <c r="AC305" s="85"/>
      <c r="AD305" s="85"/>
      <c r="AG305" s="85"/>
      <c r="AH305" s="85"/>
      <c r="AI305" s="85"/>
    </row>
    <row r="306" spans="18:35" x14ac:dyDescent="0.2">
      <c r="R306" s="85"/>
      <c r="S306" s="85"/>
      <c r="T306" s="85"/>
      <c r="W306" s="85"/>
      <c r="X306" s="85"/>
      <c r="Y306" s="85"/>
      <c r="AB306" s="85"/>
      <c r="AC306" s="85"/>
      <c r="AD306" s="85"/>
      <c r="AG306" s="85"/>
      <c r="AH306" s="85"/>
      <c r="AI306" s="85"/>
    </row>
    <row r="307" spans="18:35" x14ac:dyDescent="0.2">
      <c r="R307" s="85"/>
      <c r="S307" s="85"/>
      <c r="T307" s="85"/>
      <c r="W307" s="85"/>
      <c r="X307" s="85"/>
      <c r="Y307" s="85"/>
      <c r="AB307" s="85"/>
      <c r="AC307" s="85"/>
      <c r="AD307" s="85"/>
      <c r="AG307" s="85"/>
      <c r="AH307" s="85"/>
      <c r="AI307" s="85"/>
    </row>
    <row r="308" spans="18:35" x14ac:dyDescent="0.2">
      <c r="R308" s="85"/>
      <c r="S308" s="85"/>
      <c r="T308" s="85"/>
      <c r="W308" s="85"/>
      <c r="X308" s="85"/>
      <c r="Y308" s="85"/>
      <c r="AB308" s="85"/>
      <c r="AC308" s="85"/>
      <c r="AD308" s="85"/>
      <c r="AG308" s="85"/>
      <c r="AH308" s="85"/>
      <c r="AI308" s="85"/>
    </row>
    <row r="309" spans="18:35" x14ac:dyDescent="0.2">
      <c r="R309" s="85"/>
      <c r="S309" s="85"/>
      <c r="T309" s="85"/>
      <c r="W309" s="85"/>
      <c r="X309" s="85"/>
      <c r="Y309" s="85"/>
      <c r="AB309" s="85"/>
      <c r="AC309" s="85"/>
      <c r="AD309" s="85"/>
      <c r="AG309" s="85"/>
      <c r="AH309" s="85"/>
      <c r="AI309" s="85"/>
    </row>
    <row r="310" spans="18:35" x14ac:dyDescent="0.2">
      <c r="R310" s="85"/>
      <c r="S310" s="85"/>
      <c r="T310" s="85"/>
      <c r="W310" s="85"/>
      <c r="X310" s="85"/>
      <c r="Y310" s="85"/>
      <c r="AB310" s="85"/>
      <c r="AC310" s="85"/>
      <c r="AD310" s="85"/>
      <c r="AG310" s="85"/>
      <c r="AH310" s="85"/>
      <c r="AI310" s="85"/>
    </row>
    <row r="311" spans="18:35" x14ac:dyDescent="0.2">
      <c r="R311" s="85"/>
      <c r="S311" s="85"/>
      <c r="T311" s="85"/>
      <c r="W311" s="85"/>
      <c r="X311" s="85"/>
      <c r="Y311" s="85"/>
      <c r="AB311" s="85"/>
      <c r="AC311" s="85"/>
      <c r="AD311" s="85"/>
      <c r="AG311" s="85"/>
      <c r="AH311" s="85"/>
      <c r="AI311" s="85"/>
    </row>
    <row r="312" spans="18:35" x14ac:dyDescent="0.2">
      <c r="R312" s="85"/>
      <c r="S312" s="85"/>
      <c r="T312" s="85"/>
      <c r="W312" s="85"/>
      <c r="X312" s="85"/>
      <c r="Y312" s="85"/>
      <c r="AB312" s="85"/>
      <c r="AC312" s="85"/>
      <c r="AD312" s="85"/>
      <c r="AG312" s="85"/>
      <c r="AH312" s="85"/>
      <c r="AI312" s="85"/>
    </row>
    <row r="313" spans="18:35" x14ac:dyDescent="0.2">
      <c r="R313" s="85"/>
      <c r="S313" s="85"/>
      <c r="T313" s="85"/>
      <c r="W313" s="85"/>
      <c r="X313" s="85"/>
      <c r="Y313" s="85"/>
      <c r="AB313" s="85"/>
      <c r="AC313" s="85"/>
      <c r="AD313" s="85"/>
      <c r="AG313" s="85"/>
      <c r="AH313" s="85"/>
      <c r="AI313" s="85"/>
    </row>
    <row r="314" spans="18:35" x14ac:dyDescent="0.2">
      <c r="R314" s="85"/>
      <c r="S314" s="85"/>
      <c r="T314" s="85"/>
      <c r="W314" s="85"/>
      <c r="X314" s="85"/>
      <c r="Y314" s="85"/>
      <c r="AB314" s="85"/>
      <c r="AC314" s="85"/>
      <c r="AD314" s="85"/>
      <c r="AG314" s="85"/>
      <c r="AH314" s="85"/>
      <c r="AI314" s="85"/>
    </row>
    <row r="315" spans="18:35" x14ac:dyDescent="0.2">
      <c r="R315" s="85"/>
      <c r="S315" s="85"/>
      <c r="T315" s="85"/>
      <c r="W315" s="85"/>
      <c r="X315" s="85"/>
      <c r="Y315" s="85"/>
      <c r="AB315" s="85"/>
      <c r="AC315" s="85"/>
      <c r="AD315" s="85"/>
      <c r="AG315" s="85"/>
      <c r="AH315" s="85"/>
      <c r="AI315" s="85"/>
    </row>
    <row r="316" spans="18:35" x14ac:dyDescent="0.2">
      <c r="R316" s="85"/>
      <c r="S316" s="85"/>
      <c r="T316" s="85"/>
      <c r="W316" s="85"/>
      <c r="X316" s="85"/>
      <c r="Y316" s="85"/>
      <c r="AB316" s="85"/>
      <c r="AC316" s="85"/>
      <c r="AD316" s="85"/>
      <c r="AG316" s="85"/>
      <c r="AH316" s="85"/>
      <c r="AI316" s="85"/>
    </row>
    <row r="317" spans="18:35" x14ac:dyDescent="0.2">
      <c r="R317" s="85"/>
      <c r="S317" s="85"/>
      <c r="T317" s="85"/>
      <c r="W317" s="85"/>
      <c r="X317" s="85"/>
      <c r="Y317" s="85"/>
      <c r="AB317" s="85"/>
      <c r="AC317" s="85"/>
      <c r="AD317" s="85"/>
      <c r="AG317" s="85"/>
      <c r="AH317" s="85"/>
      <c r="AI317" s="85"/>
    </row>
    <row r="318" spans="18:35" x14ac:dyDescent="0.2">
      <c r="R318" s="85"/>
      <c r="S318" s="85"/>
      <c r="T318" s="85"/>
      <c r="W318" s="85"/>
      <c r="X318" s="85"/>
      <c r="Y318" s="85"/>
      <c r="AB318" s="85"/>
      <c r="AC318" s="85"/>
      <c r="AD318" s="85"/>
      <c r="AG318" s="85"/>
      <c r="AH318" s="85"/>
      <c r="AI318" s="85"/>
    </row>
    <row r="319" spans="18:35" x14ac:dyDescent="0.2">
      <c r="R319" s="85"/>
      <c r="S319" s="85"/>
      <c r="T319" s="85"/>
      <c r="W319" s="85"/>
      <c r="X319" s="85"/>
      <c r="Y319" s="85"/>
      <c r="AB319" s="85"/>
      <c r="AC319" s="85"/>
      <c r="AD319" s="85"/>
      <c r="AG319" s="85"/>
      <c r="AH319" s="85"/>
      <c r="AI319" s="85"/>
    </row>
    <row r="320" spans="18:35" x14ac:dyDescent="0.2">
      <c r="R320" s="85"/>
      <c r="S320" s="85"/>
      <c r="T320" s="85"/>
      <c r="W320" s="85"/>
      <c r="X320" s="85"/>
      <c r="Y320" s="85"/>
      <c r="AB320" s="85"/>
      <c r="AC320" s="85"/>
      <c r="AD320" s="85"/>
      <c r="AG320" s="85"/>
      <c r="AH320" s="85"/>
      <c r="AI320" s="85"/>
    </row>
    <row r="321" spans="18:35" x14ac:dyDescent="0.2">
      <c r="R321" s="85"/>
      <c r="S321" s="85"/>
      <c r="T321" s="85"/>
      <c r="W321" s="85"/>
      <c r="X321" s="85"/>
      <c r="Y321" s="85"/>
      <c r="AB321" s="85"/>
      <c r="AC321" s="85"/>
      <c r="AD321" s="85"/>
      <c r="AG321" s="85"/>
      <c r="AH321" s="85"/>
      <c r="AI321" s="85"/>
    </row>
    <row r="322" spans="18:35" x14ac:dyDescent="0.2">
      <c r="R322" s="85"/>
      <c r="S322" s="85"/>
      <c r="T322" s="85"/>
      <c r="W322" s="85"/>
      <c r="X322" s="85"/>
      <c r="Y322" s="85"/>
      <c r="AB322" s="85"/>
      <c r="AC322" s="85"/>
      <c r="AD322" s="85"/>
      <c r="AG322" s="85"/>
      <c r="AH322" s="85"/>
      <c r="AI322" s="85"/>
    </row>
    <row r="323" spans="18:35" x14ac:dyDescent="0.2">
      <c r="R323" s="85"/>
      <c r="S323" s="85"/>
      <c r="T323" s="85"/>
      <c r="W323" s="85"/>
      <c r="X323" s="85"/>
      <c r="Y323" s="85"/>
      <c r="AB323" s="85"/>
      <c r="AC323" s="85"/>
      <c r="AD323" s="85"/>
      <c r="AG323" s="85"/>
      <c r="AH323" s="85"/>
      <c r="AI323" s="85"/>
    </row>
    <row r="324" spans="18:35" x14ac:dyDescent="0.2">
      <c r="R324" s="85"/>
      <c r="S324" s="85"/>
      <c r="T324" s="85"/>
      <c r="W324" s="85"/>
      <c r="X324" s="85"/>
      <c r="Y324" s="85"/>
      <c r="AB324" s="85"/>
      <c r="AC324" s="85"/>
      <c r="AD324" s="85"/>
      <c r="AG324" s="85"/>
      <c r="AH324" s="85"/>
      <c r="AI324" s="85"/>
    </row>
    <row r="325" spans="18:35" x14ac:dyDescent="0.2">
      <c r="R325" s="85"/>
      <c r="S325" s="85"/>
      <c r="T325" s="85"/>
      <c r="W325" s="85"/>
      <c r="X325" s="85"/>
      <c r="Y325" s="85"/>
      <c r="AB325" s="85"/>
      <c r="AC325" s="85"/>
      <c r="AD325" s="85"/>
      <c r="AG325" s="85"/>
      <c r="AH325" s="85"/>
      <c r="AI325" s="85"/>
    </row>
    <row r="326" spans="18:35" x14ac:dyDescent="0.2">
      <c r="R326" s="85"/>
      <c r="S326" s="85"/>
      <c r="T326" s="85"/>
      <c r="W326" s="85"/>
      <c r="X326" s="85"/>
      <c r="Y326" s="85"/>
      <c r="AB326" s="85"/>
      <c r="AC326" s="85"/>
      <c r="AD326" s="85"/>
      <c r="AG326" s="85"/>
      <c r="AH326" s="85"/>
      <c r="AI326" s="85"/>
    </row>
    <row r="327" spans="18:35" x14ac:dyDescent="0.2">
      <c r="R327" s="85"/>
      <c r="S327" s="85"/>
      <c r="T327" s="85"/>
      <c r="W327" s="85"/>
      <c r="X327" s="85"/>
      <c r="Y327" s="85"/>
      <c r="AB327" s="85"/>
      <c r="AC327" s="85"/>
      <c r="AD327" s="85"/>
      <c r="AG327" s="85"/>
      <c r="AH327" s="85"/>
      <c r="AI327" s="85"/>
    </row>
    <row r="328" spans="18:35" x14ac:dyDescent="0.2">
      <c r="R328" s="85"/>
      <c r="S328" s="85"/>
      <c r="T328" s="85"/>
      <c r="W328" s="85"/>
      <c r="X328" s="85"/>
      <c r="Y328" s="85"/>
      <c r="AB328" s="85"/>
      <c r="AC328" s="85"/>
      <c r="AD328" s="85"/>
      <c r="AG328" s="85"/>
      <c r="AH328" s="85"/>
      <c r="AI328" s="85"/>
    </row>
    <row r="329" spans="18:35" x14ac:dyDescent="0.2">
      <c r="R329" s="85"/>
      <c r="S329" s="85"/>
      <c r="T329" s="85"/>
      <c r="W329" s="85"/>
      <c r="X329" s="85"/>
      <c r="Y329" s="85"/>
      <c r="AB329" s="85"/>
      <c r="AC329" s="85"/>
      <c r="AD329" s="85"/>
      <c r="AG329" s="85"/>
      <c r="AH329" s="85"/>
      <c r="AI329" s="85"/>
    </row>
    <row r="330" spans="18:35" x14ac:dyDescent="0.2">
      <c r="R330" s="85"/>
      <c r="S330" s="85"/>
      <c r="T330" s="85"/>
      <c r="W330" s="85"/>
      <c r="X330" s="85"/>
      <c r="Y330" s="85"/>
      <c r="AB330" s="85"/>
      <c r="AC330" s="85"/>
      <c r="AD330" s="85"/>
      <c r="AG330" s="85"/>
      <c r="AH330" s="85"/>
      <c r="AI330" s="85"/>
    </row>
    <row r="331" spans="18:35" x14ac:dyDescent="0.2">
      <c r="R331" s="85"/>
      <c r="S331" s="85"/>
      <c r="T331" s="85"/>
      <c r="W331" s="85"/>
      <c r="X331" s="85"/>
      <c r="Y331" s="85"/>
      <c r="AB331" s="85"/>
      <c r="AC331" s="85"/>
      <c r="AD331" s="85"/>
      <c r="AG331" s="85"/>
      <c r="AH331" s="85"/>
      <c r="AI331" s="85"/>
    </row>
    <row r="332" spans="18:35" x14ac:dyDescent="0.2">
      <c r="R332" s="85"/>
      <c r="S332" s="85"/>
      <c r="T332" s="85"/>
      <c r="W332" s="85"/>
      <c r="X332" s="85"/>
      <c r="Y332" s="85"/>
      <c r="AB332" s="85"/>
      <c r="AC332" s="85"/>
      <c r="AD332" s="85"/>
      <c r="AG332" s="85"/>
      <c r="AH332" s="85"/>
      <c r="AI332" s="85"/>
    </row>
    <row r="333" spans="18:35" x14ac:dyDescent="0.2">
      <c r="R333" s="85"/>
      <c r="S333" s="85"/>
      <c r="T333" s="85"/>
      <c r="W333" s="85"/>
      <c r="X333" s="85"/>
      <c r="Y333" s="85"/>
      <c r="AB333" s="85"/>
      <c r="AC333" s="85"/>
      <c r="AD333" s="85"/>
      <c r="AG333" s="85"/>
      <c r="AH333" s="85"/>
      <c r="AI333" s="85"/>
    </row>
    <row r="334" spans="18:35" x14ac:dyDescent="0.2">
      <c r="R334" s="85"/>
      <c r="S334" s="85"/>
      <c r="T334" s="85"/>
      <c r="W334" s="85"/>
      <c r="X334" s="85"/>
      <c r="Y334" s="85"/>
      <c r="AB334" s="85"/>
      <c r="AC334" s="85"/>
      <c r="AD334" s="85"/>
      <c r="AG334" s="85"/>
      <c r="AH334" s="85"/>
      <c r="AI334" s="85"/>
    </row>
    <row r="335" spans="18:35" x14ac:dyDescent="0.2">
      <c r="R335" s="85"/>
      <c r="S335" s="85"/>
      <c r="T335" s="85"/>
      <c r="W335" s="85"/>
      <c r="X335" s="85"/>
      <c r="Y335" s="85"/>
      <c r="AB335" s="85"/>
      <c r="AC335" s="85"/>
      <c r="AD335" s="85"/>
      <c r="AG335" s="85"/>
      <c r="AH335" s="85"/>
      <c r="AI335" s="85"/>
    </row>
    <row r="336" spans="18:35" x14ac:dyDescent="0.2">
      <c r="R336" s="85"/>
      <c r="S336" s="85"/>
      <c r="T336" s="85"/>
      <c r="W336" s="85"/>
      <c r="X336" s="85"/>
      <c r="Y336" s="85"/>
      <c r="AB336" s="85"/>
      <c r="AC336" s="85"/>
      <c r="AD336" s="85"/>
      <c r="AG336" s="85"/>
      <c r="AH336" s="85"/>
      <c r="AI336" s="85"/>
    </row>
    <row r="337" spans="18:35" x14ac:dyDescent="0.2">
      <c r="R337" s="85"/>
      <c r="S337" s="85"/>
      <c r="T337" s="85"/>
      <c r="W337" s="85"/>
      <c r="X337" s="85"/>
      <c r="Y337" s="85"/>
      <c r="AB337" s="85"/>
      <c r="AC337" s="85"/>
      <c r="AD337" s="85"/>
      <c r="AG337" s="85"/>
      <c r="AH337" s="85"/>
      <c r="AI337" s="85"/>
    </row>
    <row r="338" spans="18:35" x14ac:dyDescent="0.2">
      <c r="R338" s="85"/>
      <c r="S338" s="85"/>
      <c r="T338" s="85"/>
      <c r="W338" s="85"/>
      <c r="X338" s="85"/>
      <c r="Y338" s="85"/>
      <c r="AB338" s="85"/>
      <c r="AC338" s="85"/>
      <c r="AD338" s="85"/>
      <c r="AG338" s="85"/>
      <c r="AH338" s="85"/>
      <c r="AI338" s="85"/>
    </row>
    <row r="339" spans="18:35" x14ac:dyDescent="0.2">
      <c r="R339" s="85"/>
      <c r="S339" s="85"/>
      <c r="T339" s="85"/>
      <c r="W339" s="85"/>
      <c r="X339" s="85"/>
      <c r="Y339" s="85"/>
      <c r="AB339" s="85"/>
      <c r="AC339" s="85"/>
      <c r="AD339" s="85"/>
      <c r="AG339" s="85"/>
      <c r="AH339" s="85"/>
      <c r="AI339" s="85"/>
    </row>
    <row r="340" spans="18:35" x14ac:dyDescent="0.2">
      <c r="R340" s="85"/>
      <c r="S340" s="85"/>
      <c r="T340" s="85"/>
      <c r="W340" s="85"/>
      <c r="X340" s="85"/>
      <c r="Y340" s="85"/>
      <c r="AB340" s="85"/>
      <c r="AC340" s="85"/>
      <c r="AD340" s="85"/>
      <c r="AG340" s="85"/>
      <c r="AH340" s="85"/>
      <c r="AI340" s="85"/>
    </row>
    <row r="341" spans="18:35" x14ac:dyDescent="0.2">
      <c r="R341" s="85"/>
      <c r="S341" s="85"/>
      <c r="T341" s="85"/>
      <c r="W341" s="85"/>
      <c r="X341" s="85"/>
      <c r="Y341" s="85"/>
      <c r="AB341" s="85"/>
      <c r="AC341" s="85"/>
      <c r="AD341" s="85"/>
      <c r="AG341" s="85"/>
      <c r="AH341" s="85"/>
      <c r="AI341" s="85"/>
    </row>
    <row r="342" spans="18:35" x14ac:dyDescent="0.2">
      <c r="R342" s="85"/>
      <c r="S342" s="85"/>
      <c r="T342" s="85"/>
      <c r="W342" s="85"/>
      <c r="X342" s="85"/>
      <c r="Y342" s="85"/>
      <c r="AB342" s="85"/>
      <c r="AC342" s="85"/>
      <c r="AD342" s="85"/>
      <c r="AG342" s="85"/>
      <c r="AH342" s="85"/>
      <c r="AI342" s="85"/>
    </row>
    <row r="343" spans="18:35" x14ac:dyDescent="0.2">
      <c r="R343" s="85"/>
      <c r="S343" s="85"/>
      <c r="T343" s="85"/>
      <c r="W343" s="85"/>
      <c r="X343" s="85"/>
      <c r="Y343" s="85"/>
      <c r="AB343" s="85"/>
      <c r="AC343" s="85"/>
      <c r="AD343" s="85"/>
      <c r="AG343" s="85"/>
      <c r="AH343" s="85"/>
      <c r="AI343" s="85"/>
    </row>
    <row r="344" spans="18:35" x14ac:dyDescent="0.2">
      <c r="R344" s="85"/>
      <c r="S344" s="85"/>
      <c r="T344" s="85"/>
      <c r="W344" s="85"/>
      <c r="X344" s="85"/>
      <c r="Y344" s="85"/>
      <c r="AB344" s="85"/>
      <c r="AC344" s="85"/>
      <c r="AD344" s="85"/>
      <c r="AG344" s="85"/>
      <c r="AH344" s="85"/>
      <c r="AI344" s="85"/>
    </row>
    <row r="345" spans="18:35" x14ac:dyDescent="0.2">
      <c r="R345" s="85"/>
      <c r="S345" s="85"/>
      <c r="T345" s="85"/>
      <c r="W345" s="85"/>
      <c r="X345" s="85"/>
      <c r="Y345" s="85"/>
      <c r="AB345" s="85"/>
      <c r="AC345" s="85"/>
      <c r="AD345" s="85"/>
      <c r="AG345" s="85"/>
      <c r="AH345" s="85"/>
      <c r="AI345" s="85"/>
    </row>
    <row r="346" spans="18:35" x14ac:dyDescent="0.2">
      <c r="R346" s="85"/>
      <c r="S346" s="85"/>
      <c r="T346" s="85"/>
      <c r="W346" s="85"/>
      <c r="X346" s="85"/>
      <c r="Y346" s="85"/>
      <c r="AB346" s="85"/>
      <c r="AC346" s="85"/>
      <c r="AD346" s="85"/>
      <c r="AG346" s="85"/>
      <c r="AH346" s="85"/>
      <c r="AI346" s="85"/>
    </row>
    <row r="347" spans="18:35" x14ac:dyDescent="0.2">
      <c r="R347" s="85"/>
      <c r="S347" s="85"/>
      <c r="T347" s="85"/>
      <c r="W347" s="85"/>
      <c r="X347" s="85"/>
      <c r="Y347" s="85"/>
      <c r="AB347" s="85"/>
      <c r="AC347" s="85"/>
      <c r="AD347" s="85"/>
      <c r="AG347" s="85"/>
      <c r="AH347" s="85"/>
      <c r="AI347" s="85"/>
    </row>
    <row r="348" spans="18:35" x14ac:dyDescent="0.2">
      <c r="R348" s="85"/>
      <c r="S348" s="85"/>
      <c r="T348" s="85"/>
      <c r="W348" s="85"/>
      <c r="X348" s="85"/>
      <c r="Y348" s="85"/>
      <c r="AB348" s="85"/>
      <c r="AC348" s="85"/>
      <c r="AD348" s="85"/>
      <c r="AG348" s="85"/>
      <c r="AH348" s="85"/>
      <c r="AI348" s="85"/>
    </row>
    <row r="349" spans="18:35" x14ac:dyDescent="0.2">
      <c r="R349" s="85"/>
      <c r="S349" s="85"/>
      <c r="T349" s="85"/>
      <c r="W349" s="85"/>
      <c r="X349" s="85"/>
      <c r="Y349" s="85"/>
      <c r="AB349" s="85"/>
      <c r="AC349" s="85"/>
      <c r="AD349" s="85"/>
      <c r="AG349" s="85"/>
      <c r="AH349" s="85"/>
      <c r="AI349" s="85"/>
    </row>
    <row r="350" spans="18:35" x14ac:dyDescent="0.2">
      <c r="R350" s="85"/>
      <c r="S350" s="85"/>
      <c r="T350" s="85"/>
      <c r="W350" s="85"/>
      <c r="X350" s="85"/>
      <c r="Y350" s="85"/>
      <c r="AB350" s="85"/>
      <c r="AC350" s="85"/>
      <c r="AD350" s="85"/>
      <c r="AG350" s="85"/>
      <c r="AH350" s="85"/>
      <c r="AI350" s="85"/>
    </row>
    <row r="351" spans="18:35" x14ac:dyDescent="0.2">
      <c r="R351" s="85"/>
      <c r="S351" s="85"/>
      <c r="T351" s="85"/>
      <c r="W351" s="85"/>
      <c r="X351" s="85"/>
      <c r="Y351" s="85"/>
      <c r="AB351" s="85"/>
      <c r="AC351" s="85"/>
      <c r="AD351" s="85"/>
      <c r="AG351" s="85"/>
      <c r="AH351" s="85"/>
      <c r="AI351" s="85"/>
    </row>
    <row r="352" spans="18:35" x14ac:dyDescent="0.2">
      <c r="R352" s="85"/>
      <c r="S352" s="85"/>
      <c r="T352" s="85"/>
      <c r="W352" s="85"/>
      <c r="X352" s="85"/>
      <c r="Y352" s="85"/>
      <c r="AB352" s="85"/>
      <c r="AC352" s="85"/>
      <c r="AD352" s="85"/>
      <c r="AG352" s="85"/>
      <c r="AH352" s="85"/>
      <c r="AI352" s="85"/>
    </row>
    <row r="353" spans="18:35" x14ac:dyDescent="0.2">
      <c r="R353" s="85"/>
      <c r="S353" s="85"/>
      <c r="T353" s="85"/>
      <c r="W353" s="85"/>
      <c r="X353" s="85"/>
      <c r="Y353" s="85"/>
      <c r="AB353" s="85"/>
      <c r="AC353" s="85"/>
      <c r="AD353" s="85"/>
      <c r="AG353" s="85"/>
      <c r="AH353" s="85"/>
      <c r="AI353" s="85"/>
    </row>
    <row r="354" spans="18:35" x14ac:dyDescent="0.2">
      <c r="R354" s="85"/>
      <c r="S354" s="85"/>
      <c r="T354" s="85"/>
      <c r="W354" s="85"/>
      <c r="X354" s="85"/>
      <c r="Y354" s="85"/>
      <c r="AB354" s="85"/>
      <c r="AC354" s="85"/>
      <c r="AD354" s="85"/>
      <c r="AG354" s="85"/>
      <c r="AH354" s="85"/>
      <c r="AI354" s="85"/>
    </row>
    <row r="355" spans="18:35" x14ac:dyDescent="0.2">
      <c r="R355" s="85"/>
      <c r="S355" s="85"/>
      <c r="T355" s="85"/>
      <c r="W355" s="85"/>
      <c r="X355" s="85"/>
      <c r="Y355" s="85"/>
      <c r="AB355" s="85"/>
      <c r="AC355" s="85"/>
      <c r="AD355" s="85"/>
      <c r="AG355" s="85"/>
      <c r="AH355" s="85"/>
      <c r="AI355" s="85"/>
    </row>
    <row r="356" spans="18:35" x14ac:dyDescent="0.2">
      <c r="R356" s="85"/>
      <c r="S356" s="85"/>
      <c r="T356" s="85"/>
      <c r="W356" s="85"/>
      <c r="X356" s="85"/>
      <c r="Y356" s="85"/>
      <c r="AB356" s="85"/>
      <c r="AC356" s="85"/>
      <c r="AD356" s="85"/>
      <c r="AG356" s="85"/>
      <c r="AH356" s="85"/>
      <c r="AI356" s="85"/>
    </row>
    <row r="357" spans="18:35" x14ac:dyDescent="0.2">
      <c r="R357" s="85"/>
      <c r="S357" s="85"/>
      <c r="T357" s="85"/>
      <c r="W357" s="85"/>
      <c r="X357" s="85"/>
      <c r="Y357" s="85"/>
      <c r="AB357" s="85"/>
      <c r="AC357" s="85"/>
      <c r="AD357" s="85"/>
      <c r="AG357" s="85"/>
      <c r="AH357" s="85"/>
      <c r="AI357" s="85"/>
    </row>
    <row r="358" spans="18:35" x14ac:dyDescent="0.2">
      <c r="R358" s="85"/>
      <c r="S358" s="85"/>
      <c r="T358" s="85"/>
      <c r="W358" s="85"/>
      <c r="X358" s="85"/>
      <c r="Y358" s="85"/>
      <c r="AB358" s="85"/>
      <c r="AC358" s="85"/>
      <c r="AD358" s="85"/>
      <c r="AG358" s="85"/>
      <c r="AH358" s="85"/>
      <c r="AI358" s="85"/>
    </row>
    <row r="359" spans="18:35" x14ac:dyDescent="0.2">
      <c r="R359" s="85"/>
      <c r="S359" s="85"/>
      <c r="T359" s="85"/>
      <c r="W359" s="85"/>
      <c r="X359" s="85"/>
      <c r="Y359" s="85"/>
      <c r="AB359" s="85"/>
      <c r="AC359" s="85"/>
      <c r="AD359" s="85"/>
      <c r="AG359" s="85"/>
      <c r="AH359" s="85"/>
      <c r="AI359" s="85"/>
    </row>
    <row r="360" spans="18:35" x14ac:dyDescent="0.2">
      <c r="R360" s="85"/>
      <c r="S360" s="85"/>
      <c r="T360" s="85"/>
      <c r="W360" s="85"/>
      <c r="X360" s="85"/>
      <c r="Y360" s="85"/>
      <c r="AB360" s="85"/>
      <c r="AC360" s="85"/>
      <c r="AD360" s="85"/>
      <c r="AG360" s="85"/>
      <c r="AH360" s="85"/>
      <c r="AI360" s="85"/>
    </row>
    <row r="361" spans="18:35" x14ac:dyDescent="0.2">
      <c r="R361" s="85"/>
      <c r="S361" s="85"/>
      <c r="T361" s="85"/>
      <c r="W361" s="85"/>
      <c r="X361" s="85"/>
      <c r="Y361" s="85"/>
      <c r="AB361" s="85"/>
      <c r="AC361" s="85"/>
      <c r="AD361" s="85"/>
      <c r="AG361" s="85"/>
      <c r="AH361" s="85"/>
      <c r="AI361" s="85"/>
    </row>
    <row r="362" spans="18:35" x14ac:dyDescent="0.2">
      <c r="R362" s="85"/>
      <c r="S362" s="85"/>
      <c r="T362" s="85"/>
      <c r="W362" s="85"/>
      <c r="X362" s="85"/>
      <c r="Y362" s="85"/>
      <c r="AB362" s="85"/>
      <c r="AC362" s="85"/>
      <c r="AD362" s="85"/>
      <c r="AG362" s="85"/>
      <c r="AH362" s="85"/>
      <c r="AI362" s="85"/>
    </row>
    <row r="363" spans="18:35" x14ac:dyDescent="0.2">
      <c r="R363" s="85"/>
      <c r="S363" s="85"/>
      <c r="T363" s="85"/>
      <c r="W363" s="85"/>
      <c r="X363" s="85"/>
      <c r="Y363" s="85"/>
      <c r="AB363" s="85"/>
      <c r="AC363" s="85"/>
      <c r="AD363" s="85"/>
      <c r="AG363" s="85"/>
      <c r="AH363" s="85"/>
      <c r="AI363" s="85"/>
    </row>
    <row r="364" spans="18:35" x14ac:dyDescent="0.2">
      <c r="R364" s="85"/>
      <c r="S364" s="85"/>
      <c r="T364" s="85"/>
      <c r="W364" s="85"/>
      <c r="X364" s="85"/>
      <c r="Y364" s="85"/>
      <c r="AB364" s="85"/>
      <c r="AC364" s="85"/>
      <c r="AD364" s="85"/>
      <c r="AG364" s="85"/>
      <c r="AH364" s="85"/>
      <c r="AI364" s="85"/>
    </row>
    <row r="365" spans="18:35" x14ac:dyDescent="0.2">
      <c r="R365" s="85"/>
      <c r="S365" s="85"/>
      <c r="T365" s="85"/>
      <c r="W365" s="85"/>
      <c r="X365" s="85"/>
      <c r="Y365" s="85"/>
      <c r="AB365" s="85"/>
      <c r="AC365" s="85"/>
      <c r="AD365" s="85"/>
      <c r="AG365" s="85"/>
      <c r="AH365" s="85"/>
      <c r="AI365" s="85"/>
    </row>
    <row r="366" spans="18:35" x14ac:dyDescent="0.2">
      <c r="R366" s="85"/>
      <c r="S366" s="85"/>
      <c r="T366" s="85"/>
      <c r="W366" s="85"/>
      <c r="X366" s="85"/>
      <c r="Y366" s="85"/>
      <c r="AB366" s="85"/>
      <c r="AC366" s="85"/>
      <c r="AD366" s="85"/>
      <c r="AG366" s="85"/>
      <c r="AH366" s="85"/>
      <c r="AI366" s="85"/>
    </row>
    <row r="367" spans="18:35" x14ac:dyDescent="0.2">
      <c r="R367" s="85"/>
      <c r="S367" s="85"/>
      <c r="T367" s="85"/>
      <c r="W367" s="85"/>
      <c r="X367" s="85"/>
      <c r="Y367" s="85"/>
      <c r="AB367" s="85"/>
      <c r="AC367" s="85"/>
      <c r="AD367" s="85"/>
      <c r="AG367" s="85"/>
      <c r="AH367" s="85"/>
      <c r="AI367" s="85"/>
    </row>
    <row r="368" spans="18:35" x14ac:dyDescent="0.2">
      <c r="R368" s="85"/>
      <c r="S368" s="85"/>
      <c r="T368" s="85"/>
      <c r="W368" s="85"/>
      <c r="X368" s="85"/>
      <c r="Y368" s="85"/>
      <c r="AB368" s="85"/>
      <c r="AC368" s="85"/>
      <c r="AD368" s="85"/>
      <c r="AG368" s="85"/>
      <c r="AH368" s="85"/>
      <c r="AI368" s="85"/>
    </row>
    <row r="369" spans="18:35" x14ac:dyDescent="0.2">
      <c r="R369" s="85"/>
      <c r="S369" s="85"/>
      <c r="T369" s="85"/>
      <c r="W369" s="85"/>
      <c r="X369" s="85"/>
      <c r="Y369" s="85"/>
      <c r="AB369" s="85"/>
      <c r="AC369" s="85"/>
      <c r="AD369" s="85"/>
      <c r="AG369" s="85"/>
      <c r="AH369" s="85"/>
      <c r="AI369" s="85"/>
    </row>
    <row r="370" spans="18:35" x14ac:dyDescent="0.2">
      <c r="R370" s="85"/>
      <c r="S370" s="85"/>
      <c r="T370" s="85"/>
      <c r="W370" s="85"/>
      <c r="X370" s="85"/>
      <c r="Y370" s="85"/>
      <c r="AB370" s="85"/>
      <c r="AC370" s="85"/>
      <c r="AD370" s="85"/>
      <c r="AG370" s="85"/>
      <c r="AH370" s="85"/>
      <c r="AI370" s="85"/>
    </row>
    <row r="371" spans="18:35" x14ac:dyDescent="0.2">
      <c r="R371" s="85"/>
      <c r="S371" s="85"/>
      <c r="T371" s="85"/>
      <c r="W371" s="85"/>
      <c r="X371" s="85"/>
      <c r="Y371" s="85"/>
      <c r="AB371" s="85"/>
      <c r="AC371" s="85"/>
      <c r="AD371" s="85"/>
      <c r="AG371" s="85"/>
      <c r="AH371" s="85"/>
      <c r="AI371" s="85"/>
    </row>
    <row r="372" spans="18:35" x14ac:dyDescent="0.2">
      <c r="R372" s="85"/>
      <c r="S372" s="85"/>
      <c r="T372" s="85"/>
      <c r="W372" s="85"/>
      <c r="X372" s="85"/>
      <c r="Y372" s="85"/>
      <c r="AB372" s="85"/>
      <c r="AC372" s="85"/>
      <c r="AD372" s="85"/>
      <c r="AG372" s="85"/>
      <c r="AH372" s="85"/>
      <c r="AI372" s="85"/>
    </row>
    <row r="373" spans="18:35" x14ac:dyDescent="0.2">
      <c r="R373" s="85"/>
      <c r="S373" s="85"/>
      <c r="T373" s="85"/>
      <c r="W373" s="85"/>
      <c r="X373" s="85"/>
      <c r="Y373" s="85"/>
      <c r="AB373" s="85"/>
      <c r="AC373" s="85"/>
      <c r="AD373" s="85"/>
      <c r="AG373" s="85"/>
      <c r="AH373" s="85"/>
      <c r="AI373" s="85"/>
    </row>
    <row r="374" spans="18:35" x14ac:dyDescent="0.2">
      <c r="R374" s="85"/>
      <c r="S374" s="85"/>
      <c r="T374" s="85"/>
      <c r="W374" s="85"/>
      <c r="X374" s="85"/>
      <c r="Y374" s="85"/>
      <c r="AB374" s="85"/>
      <c r="AC374" s="85"/>
      <c r="AD374" s="85"/>
      <c r="AG374" s="85"/>
      <c r="AH374" s="85"/>
      <c r="AI374" s="85"/>
    </row>
    <row r="375" spans="18:35" x14ac:dyDescent="0.2">
      <c r="R375" s="85"/>
      <c r="S375" s="85"/>
      <c r="T375" s="85"/>
      <c r="W375" s="85"/>
      <c r="X375" s="85"/>
      <c r="Y375" s="85"/>
      <c r="AB375" s="85"/>
      <c r="AC375" s="85"/>
      <c r="AD375" s="85"/>
      <c r="AG375" s="85"/>
      <c r="AH375" s="85"/>
      <c r="AI375" s="85"/>
    </row>
    <row r="376" spans="18:35" x14ac:dyDescent="0.2">
      <c r="R376" s="85"/>
      <c r="S376" s="85"/>
      <c r="T376" s="85"/>
      <c r="W376" s="85"/>
      <c r="X376" s="85"/>
      <c r="Y376" s="85"/>
      <c r="AB376" s="85"/>
      <c r="AC376" s="85"/>
      <c r="AD376" s="85"/>
      <c r="AG376" s="85"/>
      <c r="AH376" s="85"/>
      <c r="AI376" s="85"/>
    </row>
    <row r="377" spans="18:35" x14ac:dyDescent="0.2">
      <c r="R377" s="85"/>
      <c r="S377" s="85"/>
      <c r="T377" s="85"/>
      <c r="W377" s="85"/>
      <c r="X377" s="85"/>
      <c r="Y377" s="85"/>
      <c r="AB377" s="85"/>
      <c r="AC377" s="85"/>
      <c r="AD377" s="85"/>
      <c r="AG377" s="85"/>
      <c r="AH377" s="85"/>
      <c r="AI377" s="85"/>
    </row>
    <row r="378" spans="18:35" x14ac:dyDescent="0.2">
      <c r="R378" s="85"/>
      <c r="S378" s="85"/>
      <c r="T378" s="85"/>
      <c r="W378" s="85"/>
      <c r="X378" s="85"/>
      <c r="Y378" s="85"/>
      <c r="AB378" s="85"/>
      <c r="AC378" s="85"/>
      <c r="AD378" s="85"/>
      <c r="AG378" s="85"/>
      <c r="AH378" s="85"/>
      <c r="AI378" s="85"/>
    </row>
    <row r="379" spans="18:35" x14ac:dyDescent="0.2">
      <c r="R379" s="85"/>
      <c r="S379" s="85"/>
      <c r="T379" s="85"/>
      <c r="W379" s="85"/>
      <c r="X379" s="85"/>
      <c r="Y379" s="85"/>
      <c r="AB379" s="85"/>
      <c r="AC379" s="85"/>
      <c r="AD379" s="85"/>
      <c r="AG379" s="85"/>
      <c r="AH379" s="85"/>
      <c r="AI379" s="85"/>
    </row>
    <row r="380" spans="18:35" x14ac:dyDescent="0.2">
      <c r="R380" s="85"/>
      <c r="S380" s="85"/>
      <c r="T380" s="85"/>
      <c r="W380" s="85"/>
      <c r="X380" s="85"/>
      <c r="Y380" s="85"/>
      <c r="AB380" s="85"/>
      <c r="AC380" s="85"/>
      <c r="AD380" s="85"/>
      <c r="AG380" s="85"/>
      <c r="AH380" s="85"/>
      <c r="AI380" s="85"/>
    </row>
    <row r="381" spans="18:35" x14ac:dyDescent="0.2">
      <c r="R381" s="85"/>
      <c r="S381" s="85"/>
      <c r="T381" s="85"/>
      <c r="W381" s="85"/>
      <c r="X381" s="85"/>
      <c r="Y381" s="85"/>
      <c r="AB381" s="85"/>
      <c r="AC381" s="85"/>
      <c r="AD381" s="85"/>
      <c r="AG381" s="85"/>
      <c r="AH381" s="85"/>
      <c r="AI381" s="85"/>
    </row>
    <row r="382" spans="18:35" x14ac:dyDescent="0.2">
      <c r="R382" s="85"/>
      <c r="S382" s="85"/>
      <c r="T382" s="85"/>
      <c r="W382" s="85"/>
      <c r="X382" s="85"/>
      <c r="Y382" s="85"/>
      <c r="AB382" s="85"/>
      <c r="AC382" s="85"/>
      <c r="AD382" s="85"/>
      <c r="AG382" s="85"/>
      <c r="AH382" s="85"/>
      <c r="AI382" s="85"/>
    </row>
    <row r="383" spans="18:35" x14ac:dyDescent="0.2">
      <c r="R383" s="85"/>
      <c r="S383" s="85"/>
      <c r="T383" s="85"/>
      <c r="W383" s="85"/>
      <c r="X383" s="85"/>
      <c r="Y383" s="85"/>
      <c r="AB383" s="85"/>
      <c r="AC383" s="85"/>
      <c r="AD383" s="85"/>
      <c r="AG383" s="85"/>
      <c r="AH383" s="85"/>
      <c r="AI383" s="85"/>
    </row>
    <row r="384" spans="18:35" x14ac:dyDescent="0.2">
      <c r="R384" s="85"/>
      <c r="S384" s="85"/>
      <c r="T384" s="85"/>
      <c r="W384" s="85"/>
      <c r="X384" s="85"/>
      <c r="Y384" s="85"/>
      <c r="AB384" s="85"/>
      <c r="AC384" s="85"/>
      <c r="AD384" s="85"/>
      <c r="AG384" s="85"/>
      <c r="AH384" s="85"/>
      <c r="AI384" s="85"/>
    </row>
    <row r="385" spans="18:35" x14ac:dyDescent="0.2">
      <c r="R385" s="85"/>
      <c r="S385" s="85"/>
      <c r="T385" s="85"/>
      <c r="W385" s="85"/>
      <c r="X385" s="85"/>
      <c r="Y385" s="85"/>
      <c r="AB385" s="85"/>
      <c r="AC385" s="85"/>
      <c r="AD385" s="85"/>
      <c r="AG385" s="85"/>
      <c r="AH385" s="85"/>
      <c r="AI385" s="85"/>
    </row>
    <row r="386" spans="18:35" x14ac:dyDescent="0.2">
      <c r="R386" s="85"/>
      <c r="S386" s="85"/>
      <c r="T386" s="85"/>
      <c r="W386" s="85"/>
      <c r="X386" s="85"/>
      <c r="Y386" s="85"/>
      <c r="AB386" s="85"/>
      <c r="AC386" s="85"/>
      <c r="AD386" s="85"/>
      <c r="AG386" s="85"/>
      <c r="AH386" s="85"/>
      <c r="AI386" s="85"/>
    </row>
    <row r="387" spans="18:35" x14ac:dyDescent="0.2">
      <c r="R387" s="85"/>
      <c r="S387" s="85"/>
      <c r="T387" s="85"/>
      <c r="W387" s="85"/>
      <c r="X387" s="85"/>
      <c r="Y387" s="85"/>
      <c r="AB387" s="85"/>
      <c r="AC387" s="85"/>
      <c r="AD387" s="85"/>
      <c r="AG387" s="85"/>
      <c r="AH387" s="85"/>
      <c r="AI387" s="85"/>
    </row>
    <row r="388" spans="18:35" x14ac:dyDescent="0.2">
      <c r="R388" s="85"/>
      <c r="S388" s="85"/>
      <c r="T388" s="85"/>
      <c r="W388" s="85"/>
      <c r="X388" s="85"/>
      <c r="Y388" s="85"/>
      <c r="AB388" s="85"/>
      <c r="AC388" s="85"/>
      <c r="AD388" s="85"/>
      <c r="AG388" s="85"/>
      <c r="AH388" s="85"/>
      <c r="AI388" s="85"/>
    </row>
    <row r="389" spans="18:35" x14ac:dyDescent="0.2">
      <c r="R389" s="85"/>
      <c r="S389" s="85"/>
      <c r="T389" s="85"/>
      <c r="W389" s="85"/>
      <c r="X389" s="85"/>
      <c r="Y389" s="85"/>
      <c r="AB389" s="85"/>
      <c r="AC389" s="85"/>
      <c r="AD389" s="85"/>
      <c r="AG389" s="85"/>
      <c r="AH389" s="85"/>
      <c r="AI389" s="85"/>
    </row>
    <row r="390" spans="18:35" x14ac:dyDescent="0.2">
      <c r="R390" s="85"/>
      <c r="S390" s="85"/>
      <c r="T390" s="85"/>
      <c r="W390" s="85"/>
      <c r="X390" s="85"/>
      <c r="Y390" s="85"/>
      <c r="AB390" s="85"/>
      <c r="AC390" s="85"/>
      <c r="AD390" s="85"/>
      <c r="AG390" s="85"/>
      <c r="AH390" s="85"/>
      <c r="AI390" s="85"/>
    </row>
    <row r="391" spans="18:35" x14ac:dyDescent="0.2">
      <c r="R391" s="85"/>
      <c r="S391" s="85"/>
      <c r="T391" s="85"/>
      <c r="W391" s="85"/>
      <c r="X391" s="85"/>
      <c r="Y391" s="85"/>
      <c r="AB391" s="85"/>
      <c r="AC391" s="85"/>
      <c r="AD391" s="85"/>
      <c r="AG391" s="85"/>
      <c r="AH391" s="85"/>
      <c r="AI391" s="85"/>
    </row>
    <row r="392" spans="18:35" x14ac:dyDescent="0.2">
      <c r="R392" s="85"/>
      <c r="S392" s="85"/>
      <c r="T392" s="85"/>
      <c r="W392" s="85"/>
      <c r="X392" s="85"/>
      <c r="Y392" s="85"/>
      <c r="AB392" s="85"/>
      <c r="AC392" s="85"/>
      <c r="AD392" s="85"/>
      <c r="AG392" s="85"/>
      <c r="AH392" s="85"/>
      <c r="AI392" s="85"/>
    </row>
    <row r="393" spans="18:35" x14ac:dyDescent="0.2">
      <c r="R393" s="85"/>
      <c r="S393" s="85"/>
      <c r="T393" s="85"/>
      <c r="W393" s="85"/>
      <c r="X393" s="85"/>
      <c r="Y393" s="85"/>
      <c r="AB393" s="85"/>
      <c r="AC393" s="85"/>
      <c r="AD393" s="85"/>
      <c r="AG393" s="85"/>
      <c r="AH393" s="85"/>
      <c r="AI393" s="85"/>
    </row>
    <row r="394" spans="18:35" x14ac:dyDescent="0.2">
      <c r="R394" s="85"/>
      <c r="S394" s="85"/>
      <c r="T394" s="85"/>
      <c r="W394" s="85"/>
      <c r="X394" s="85"/>
      <c r="Y394" s="85"/>
      <c r="AB394" s="85"/>
      <c r="AC394" s="85"/>
      <c r="AD394" s="85"/>
      <c r="AG394" s="85"/>
      <c r="AH394" s="85"/>
      <c r="AI394" s="85"/>
    </row>
    <row r="395" spans="18:35" x14ac:dyDescent="0.2">
      <c r="R395" s="85"/>
      <c r="S395" s="85"/>
      <c r="T395" s="85"/>
      <c r="W395" s="85"/>
      <c r="X395" s="85"/>
      <c r="Y395" s="85"/>
      <c r="AB395" s="85"/>
      <c r="AC395" s="85"/>
      <c r="AD395" s="85"/>
      <c r="AG395" s="85"/>
      <c r="AH395" s="85"/>
      <c r="AI395" s="85"/>
    </row>
    <row r="396" spans="18:35" x14ac:dyDescent="0.2">
      <c r="R396" s="85"/>
      <c r="S396" s="85"/>
      <c r="T396" s="85"/>
      <c r="W396" s="85"/>
      <c r="X396" s="85"/>
      <c r="Y396" s="85"/>
      <c r="AB396" s="85"/>
      <c r="AC396" s="85"/>
      <c r="AD396" s="85"/>
      <c r="AG396" s="85"/>
      <c r="AH396" s="85"/>
      <c r="AI396" s="85"/>
    </row>
    <row r="397" spans="18:35" x14ac:dyDescent="0.2">
      <c r="R397" s="85"/>
      <c r="S397" s="85"/>
      <c r="T397" s="85"/>
      <c r="W397" s="85"/>
      <c r="X397" s="85"/>
      <c r="Y397" s="85"/>
      <c r="AB397" s="85"/>
      <c r="AC397" s="85"/>
      <c r="AD397" s="85"/>
      <c r="AG397" s="85"/>
      <c r="AH397" s="85"/>
      <c r="AI397" s="85"/>
    </row>
    <row r="398" spans="18:35" x14ac:dyDescent="0.2">
      <c r="R398" s="85"/>
      <c r="S398" s="85"/>
      <c r="T398" s="85"/>
      <c r="W398" s="85"/>
      <c r="X398" s="85"/>
      <c r="Y398" s="85"/>
      <c r="AB398" s="85"/>
      <c r="AC398" s="85"/>
      <c r="AD398" s="85"/>
      <c r="AG398" s="85"/>
      <c r="AH398" s="85"/>
      <c r="AI398" s="85"/>
    </row>
    <row r="399" spans="18:35" x14ac:dyDescent="0.2">
      <c r="R399" s="85"/>
      <c r="S399" s="85"/>
      <c r="T399" s="85"/>
      <c r="W399" s="85"/>
      <c r="X399" s="85"/>
      <c r="Y399" s="85"/>
      <c r="AB399" s="85"/>
      <c r="AC399" s="85"/>
      <c r="AD399" s="85"/>
      <c r="AG399" s="85"/>
      <c r="AH399" s="85"/>
      <c r="AI399" s="85"/>
    </row>
    <row r="400" spans="18:35" x14ac:dyDescent="0.2">
      <c r="R400" s="85"/>
      <c r="S400" s="85"/>
      <c r="T400" s="85"/>
      <c r="W400" s="85"/>
      <c r="X400" s="85"/>
      <c r="Y400" s="85"/>
      <c r="AB400" s="85"/>
      <c r="AC400" s="85"/>
      <c r="AD400" s="85"/>
      <c r="AG400" s="85"/>
      <c r="AH400" s="85"/>
      <c r="AI400" s="85"/>
    </row>
    <row r="401" spans="18:35" x14ac:dyDescent="0.2">
      <c r="R401" s="85"/>
      <c r="S401" s="85"/>
      <c r="T401" s="85"/>
      <c r="W401" s="85"/>
      <c r="X401" s="85"/>
      <c r="Y401" s="85"/>
      <c r="AB401" s="85"/>
      <c r="AC401" s="85"/>
      <c r="AD401" s="85"/>
      <c r="AG401" s="85"/>
      <c r="AH401" s="85"/>
      <c r="AI401" s="85"/>
    </row>
    <row r="402" spans="18:35" x14ac:dyDescent="0.2">
      <c r="R402" s="85"/>
      <c r="S402" s="85"/>
      <c r="T402" s="85"/>
      <c r="W402" s="85"/>
      <c r="X402" s="85"/>
      <c r="Y402" s="85"/>
      <c r="AB402" s="85"/>
      <c r="AC402" s="85"/>
      <c r="AD402" s="85"/>
      <c r="AG402" s="85"/>
      <c r="AH402" s="85"/>
      <c r="AI402" s="85"/>
    </row>
    <row r="403" spans="18:35" x14ac:dyDescent="0.2">
      <c r="R403" s="85"/>
      <c r="S403" s="85"/>
      <c r="T403" s="85"/>
      <c r="W403" s="85"/>
      <c r="X403" s="85"/>
      <c r="Y403" s="85"/>
      <c r="AB403" s="85"/>
      <c r="AC403" s="85"/>
      <c r="AD403" s="85"/>
      <c r="AG403" s="85"/>
      <c r="AH403" s="85"/>
      <c r="AI403" s="85"/>
    </row>
    <row r="404" spans="18:35" x14ac:dyDescent="0.2">
      <c r="R404" s="85"/>
      <c r="S404" s="85"/>
      <c r="T404" s="85"/>
      <c r="W404" s="85"/>
      <c r="X404" s="85"/>
      <c r="Y404" s="85"/>
      <c r="AB404" s="85"/>
      <c r="AC404" s="85"/>
      <c r="AD404" s="85"/>
      <c r="AG404" s="85"/>
      <c r="AH404" s="85"/>
      <c r="AI404" s="85"/>
    </row>
    <row r="405" spans="18:35" x14ac:dyDescent="0.2">
      <c r="R405" s="85"/>
      <c r="S405" s="85"/>
      <c r="T405" s="85"/>
      <c r="W405" s="85"/>
      <c r="X405" s="85"/>
      <c r="Y405" s="85"/>
      <c r="AB405" s="85"/>
      <c r="AC405" s="85"/>
      <c r="AD405" s="85"/>
      <c r="AG405" s="85"/>
      <c r="AH405" s="85"/>
      <c r="AI405" s="85"/>
    </row>
    <row r="406" spans="18:35" x14ac:dyDescent="0.2">
      <c r="R406" s="85"/>
      <c r="S406" s="85"/>
      <c r="T406" s="85"/>
      <c r="W406" s="85"/>
      <c r="X406" s="85"/>
      <c r="Y406" s="85"/>
      <c r="AB406" s="85"/>
      <c r="AC406" s="85"/>
      <c r="AD406" s="85"/>
      <c r="AG406" s="85"/>
      <c r="AH406" s="85"/>
      <c r="AI406" s="85"/>
    </row>
    <row r="407" spans="18:35" x14ac:dyDescent="0.2">
      <c r="R407" s="85"/>
      <c r="S407" s="85"/>
      <c r="T407" s="85"/>
      <c r="W407" s="85"/>
      <c r="X407" s="85"/>
      <c r="Y407" s="85"/>
      <c r="AB407" s="85"/>
      <c r="AC407" s="85"/>
      <c r="AD407" s="85"/>
      <c r="AG407" s="85"/>
      <c r="AH407" s="85"/>
      <c r="AI407" s="85"/>
    </row>
    <row r="408" spans="18:35" x14ac:dyDescent="0.2">
      <c r="R408" s="85"/>
      <c r="S408" s="85"/>
      <c r="T408" s="85"/>
      <c r="W408" s="85"/>
      <c r="X408" s="85"/>
      <c r="Y408" s="85"/>
      <c r="AB408" s="85"/>
      <c r="AC408" s="85"/>
      <c r="AD408" s="85"/>
      <c r="AG408" s="85"/>
      <c r="AH408" s="85"/>
      <c r="AI408" s="85"/>
    </row>
    <row r="409" spans="18:35" x14ac:dyDescent="0.2">
      <c r="R409" s="85"/>
      <c r="S409" s="85"/>
      <c r="T409" s="85"/>
      <c r="W409" s="85"/>
      <c r="X409" s="85"/>
      <c r="Y409" s="85"/>
      <c r="AB409" s="85"/>
      <c r="AC409" s="85"/>
      <c r="AD409" s="85"/>
      <c r="AG409" s="85"/>
      <c r="AH409" s="85"/>
      <c r="AI409" s="85"/>
    </row>
    <row r="410" spans="18:35" x14ac:dyDescent="0.2">
      <c r="R410" s="85"/>
      <c r="S410" s="85"/>
      <c r="T410" s="85"/>
      <c r="W410" s="85"/>
      <c r="X410" s="85"/>
      <c r="Y410" s="85"/>
      <c r="AB410" s="85"/>
      <c r="AC410" s="85"/>
      <c r="AD410" s="85"/>
      <c r="AG410" s="85"/>
      <c r="AH410" s="85"/>
      <c r="AI410" s="85"/>
    </row>
    <row r="411" spans="18:35" x14ac:dyDescent="0.2">
      <c r="R411" s="85"/>
      <c r="S411" s="85"/>
      <c r="T411" s="85"/>
      <c r="W411" s="85"/>
      <c r="X411" s="85"/>
      <c r="Y411" s="85"/>
      <c r="AB411" s="85"/>
      <c r="AC411" s="85"/>
      <c r="AD411" s="85"/>
      <c r="AG411" s="85"/>
      <c r="AH411" s="85"/>
      <c r="AI411" s="85"/>
    </row>
    <row r="412" spans="18:35" x14ac:dyDescent="0.2">
      <c r="R412" s="85"/>
      <c r="S412" s="85"/>
      <c r="T412" s="85"/>
      <c r="W412" s="85"/>
      <c r="X412" s="85"/>
      <c r="Y412" s="85"/>
      <c r="AB412" s="85"/>
      <c r="AC412" s="85"/>
      <c r="AD412" s="85"/>
      <c r="AG412" s="85"/>
      <c r="AH412" s="85"/>
      <c r="AI412" s="85"/>
    </row>
    <row r="413" spans="18:35" x14ac:dyDescent="0.2">
      <c r="R413" s="85"/>
      <c r="S413" s="85"/>
      <c r="T413" s="85"/>
      <c r="W413" s="85"/>
      <c r="X413" s="85"/>
      <c r="Y413" s="85"/>
      <c r="AB413" s="85"/>
      <c r="AC413" s="85"/>
      <c r="AD413" s="85"/>
      <c r="AG413" s="85"/>
      <c r="AH413" s="85"/>
      <c r="AI413" s="85"/>
    </row>
    <row r="414" spans="18:35" x14ac:dyDescent="0.2">
      <c r="R414" s="85"/>
      <c r="S414" s="85"/>
      <c r="T414" s="85"/>
      <c r="W414" s="85"/>
      <c r="X414" s="85"/>
      <c r="Y414" s="85"/>
      <c r="AB414" s="85"/>
      <c r="AC414" s="85"/>
      <c r="AD414" s="85"/>
      <c r="AG414" s="85"/>
      <c r="AH414" s="85"/>
      <c r="AI414" s="85"/>
    </row>
    <row r="415" spans="18:35" x14ac:dyDescent="0.2">
      <c r="R415" s="85"/>
      <c r="S415" s="85"/>
      <c r="T415" s="85"/>
      <c r="W415" s="85"/>
      <c r="X415" s="85"/>
      <c r="Y415" s="85"/>
      <c r="AB415" s="85"/>
      <c r="AC415" s="85"/>
      <c r="AD415" s="85"/>
      <c r="AG415" s="85"/>
      <c r="AH415" s="85"/>
      <c r="AI415" s="85"/>
    </row>
    <row r="416" spans="18:35" x14ac:dyDescent="0.2">
      <c r="R416" s="85"/>
      <c r="S416" s="85"/>
      <c r="T416" s="85"/>
      <c r="W416" s="85"/>
      <c r="X416" s="85"/>
      <c r="Y416" s="85"/>
      <c r="AB416" s="85"/>
      <c r="AC416" s="85"/>
      <c r="AD416" s="85"/>
      <c r="AG416" s="85"/>
      <c r="AH416" s="85"/>
      <c r="AI416" s="85"/>
    </row>
    <row r="417" spans="18:35" x14ac:dyDescent="0.2">
      <c r="R417" s="85"/>
      <c r="S417" s="85"/>
      <c r="T417" s="85"/>
      <c r="W417" s="85"/>
      <c r="X417" s="85"/>
      <c r="Y417" s="85"/>
      <c r="AB417" s="85"/>
      <c r="AC417" s="85"/>
      <c r="AD417" s="85"/>
      <c r="AG417" s="85"/>
      <c r="AH417" s="85"/>
      <c r="AI417" s="85"/>
    </row>
    <row r="418" spans="18:35" x14ac:dyDescent="0.2">
      <c r="R418" s="85"/>
      <c r="S418" s="85"/>
      <c r="T418" s="85"/>
      <c r="W418" s="85"/>
      <c r="X418" s="85"/>
      <c r="Y418" s="85"/>
      <c r="AB418" s="85"/>
      <c r="AC418" s="85"/>
      <c r="AD418" s="85"/>
      <c r="AG418" s="85"/>
      <c r="AH418" s="85"/>
      <c r="AI418" s="85"/>
    </row>
    <row r="419" spans="18:35" x14ac:dyDescent="0.2">
      <c r="R419" s="85"/>
      <c r="S419" s="85"/>
      <c r="T419" s="85"/>
      <c r="W419" s="85"/>
      <c r="X419" s="85"/>
      <c r="Y419" s="85"/>
      <c r="AB419" s="85"/>
      <c r="AC419" s="85"/>
      <c r="AD419" s="85"/>
      <c r="AG419" s="85"/>
      <c r="AH419" s="85"/>
      <c r="AI419" s="85"/>
    </row>
    <row r="420" spans="18:35" x14ac:dyDescent="0.2">
      <c r="R420" s="85"/>
      <c r="S420" s="85"/>
      <c r="T420" s="85"/>
      <c r="W420" s="85"/>
      <c r="X420" s="85"/>
      <c r="Y420" s="85"/>
      <c r="AB420" s="85"/>
      <c r="AC420" s="85"/>
      <c r="AD420" s="85"/>
      <c r="AG420" s="85"/>
      <c r="AH420" s="85"/>
      <c r="AI420" s="85"/>
    </row>
    <row r="421" spans="18:35" x14ac:dyDescent="0.2">
      <c r="R421" s="85"/>
      <c r="S421" s="85"/>
      <c r="T421" s="85"/>
      <c r="W421" s="85"/>
      <c r="X421" s="85"/>
      <c r="Y421" s="85"/>
      <c r="AB421" s="85"/>
      <c r="AC421" s="85"/>
      <c r="AD421" s="85"/>
      <c r="AG421" s="85"/>
      <c r="AH421" s="85"/>
      <c r="AI421" s="85"/>
    </row>
    <row r="422" spans="18:35" x14ac:dyDescent="0.2">
      <c r="R422" s="85"/>
      <c r="S422" s="85"/>
      <c r="T422" s="85"/>
      <c r="W422" s="85"/>
      <c r="X422" s="85"/>
      <c r="Y422" s="85"/>
      <c r="AB422" s="85"/>
      <c r="AC422" s="85"/>
      <c r="AD422" s="85"/>
      <c r="AG422" s="85"/>
      <c r="AH422" s="85"/>
      <c r="AI422" s="85"/>
    </row>
    <row r="423" spans="18:35" x14ac:dyDescent="0.2">
      <c r="R423" s="85"/>
      <c r="S423" s="85"/>
      <c r="T423" s="85"/>
      <c r="W423" s="85"/>
      <c r="X423" s="85"/>
      <c r="Y423" s="85"/>
      <c r="AB423" s="85"/>
      <c r="AC423" s="85"/>
      <c r="AD423" s="85"/>
      <c r="AG423" s="85"/>
      <c r="AH423" s="85"/>
      <c r="AI423" s="85"/>
    </row>
    <row r="424" spans="18:35" x14ac:dyDescent="0.2">
      <c r="R424" s="85"/>
      <c r="S424" s="85"/>
      <c r="T424" s="85"/>
      <c r="W424" s="85"/>
      <c r="X424" s="85"/>
      <c r="Y424" s="85"/>
      <c r="AB424" s="85"/>
      <c r="AC424" s="85"/>
      <c r="AD424" s="85"/>
      <c r="AG424" s="85"/>
      <c r="AH424" s="85"/>
      <c r="AI424" s="85"/>
    </row>
    <row r="425" spans="18:35" x14ac:dyDescent="0.2">
      <c r="R425" s="85"/>
      <c r="S425" s="85"/>
      <c r="T425" s="85"/>
      <c r="W425" s="85"/>
      <c r="X425" s="85"/>
      <c r="Y425" s="85"/>
      <c r="AB425" s="85"/>
      <c r="AC425" s="85"/>
      <c r="AD425" s="85"/>
      <c r="AG425" s="85"/>
      <c r="AH425" s="85"/>
      <c r="AI425" s="85"/>
    </row>
    <row r="426" spans="18:35" x14ac:dyDescent="0.2">
      <c r="R426" s="85"/>
      <c r="S426" s="85"/>
      <c r="T426" s="85"/>
      <c r="W426" s="85"/>
      <c r="X426" s="85"/>
      <c r="Y426" s="85"/>
      <c r="AB426" s="85"/>
      <c r="AC426" s="85"/>
      <c r="AD426" s="85"/>
      <c r="AG426" s="85"/>
      <c r="AH426" s="85"/>
      <c r="AI426" s="85"/>
    </row>
    <row r="427" spans="18:35" x14ac:dyDescent="0.2">
      <c r="R427" s="85"/>
      <c r="S427" s="85"/>
      <c r="T427" s="85"/>
      <c r="W427" s="85"/>
      <c r="X427" s="85"/>
      <c r="Y427" s="85"/>
      <c r="AB427" s="85"/>
      <c r="AC427" s="85"/>
      <c r="AD427" s="85"/>
      <c r="AG427" s="85"/>
      <c r="AH427" s="85"/>
      <c r="AI427" s="85"/>
    </row>
    <row r="428" spans="18:35" x14ac:dyDescent="0.2">
      <c r="R428" s="85"/>
      <c r="S428" s="85"/>
      <c r="T428" s="85"/>
      <c r="W428" s="85"/>
      <c r="X428" s="85"/>
      <c r="Y428" s="85"/>
      <c r="AB428" s="85"/>
      <c r="AC428" s="85"/>
      <c r="AD428" s="85"/>
      <c r="AG428" s="85"/>
      <c r="AH428" s="85"/>
      <c r="AI428" s="85"/>
    </row>
    <row r="429" spans="18:35" x14ac:dyDescent="0.2">
      <c r="R429" s="85"/>
      <c r="S429" s="85"/>
      <c r="T429" s="85"/>
      <c r="W429" s="85"/>
      <c r="X429" s="85"/>
      <c r="Y429" s="85"/>
      <c r="AB429" s="85"/>
      <c r="AC429" s="85"/>
      <c r="AD429" s="85"/>
      <c r="AG429" s="85"/>
      <c r="AH429" s="85"/>
      <c r="AI429" s="85"/>
    </row>
    <row r="430" spans="18:35" x14ac:dyDescent="0.2">
      <c r="R430" s="85"/>
      <c r="S430" s="85"/>
      <c r="T430" s="85"/>
      <c r="W430" s="85"/>
      <c r="X430" s="85"/>
      <c r="Y430" s="85"/>
      <c r="AB430" s="85"/>
      <c r="AC430" s="85"/>
      <c r="AD430" s="85"/>
      <c r="AG430" s="85"/>
      <c r="AH430" s="85"/>
      <c r="AI430" s="85"/>
    </row>
    <row r="431" spans="18:35" x14ac:dyDescent="0.2">
      <c r="R431" s="85"/>
      <c r="S431" s="85"/>
      <c r="T431" s="85"/>
      <c r="W431" s="85"/>
      <c r="X431" s="85"/>
      <c r="Y431" s="85"/>
      <c r="AB431" s="85"/>
      <c r="AC431" s="85"/>
      <c r="AD431" s="85"/>
      <c r="AG431" s="85"/>
      <c r="AH431" s="85"/>
      <c r="AI431" s="85"/>
    </row>
    <row r="432" spans="18:35" x14ac:dyDescent="0.2">
      <c r="R432" s="85"/>
      <c r="S432" s="85"/>
      <c r="T432" s="85"/>
      <c r="W432" s="85"/>
      <c r="X432" s="85"/>
      <c r="Y432" s="85"/>
      <c r="AB432" s="85"/>
      <c r="AC432" s="85"/>
      <c r="AD432" s="85"/>
      <c r="AG432" s="85"/>
      <c r="AH432" s="85"/>
      <c r="AI432" s="85"/>
    </row>
    <row r="433" spans="18:35" x14ac:dyDescent="0.2">
      <c r="R433" s="85"/>
      <c r="S433" s="85"/>
      <c r="T433" s="85"/>
      <c r="W433" s="85"/>
      <c r="X433" s="85"/>
      <c r="Y433" s="85"/>
      <c r="AB433" s="85"/>
      <c r="AC433" s="85"/>
      <c r="AD433" s="85"/>
      <c r="AG433" s="85"/>
      <c r="AH433" s="85"/>
      <c r="AI433" s="85"/>
    </row>
    <row r="434" spans="18:35" x14ac:dyDescent="0.2">
      <c r="R434" s="85"/>
      <c r="S434" s="85"/>
      <c r="T434" s="85"/>
      <c r="W434" s="85"/>
      <c r="X434" s="85"/>
      <c r="Y434" s="85"/>
      <c r="AB434" s="85"/>
      <c r="AC434" s="85"/>
      <c r="AD434" s="85"/>
      <c r="AG434" s="85"/>
      <c r="AH434" s="85"/>
      <c r="AI434" s="85"/>
    </row>
    <row r="435" spans="18:35" x14ac:dyDescent="0.2">
      <c r="R435" s="85"/>
      <c r="S435" s="85"/>
      <c r="T435" s="85"/>
      <c r="W435" s="85"/>
      <c r="X435" s="85"/>
      <c r="Y435" s="85"/>
      <c r="AB435" s="85"/>
      <c r="AC435" s="85"/>
      <c r="AD435" s="85"/>
      <c r="AG435" s="85"/>
      <c r="AH435" s="85"/>
      <c r="AI435" s="85"/>
    </row>
    <row r="436" spans="18:35" x14ac:dyDescent="0.2">
      <c r="R436" s="85"/>
      <c r="S436" s="85"/>
      <c r="T436" s="85"/>
      <c r="W436" s="85"/>
      <c r="X436" s="85"/>
      <c r="Y436" s="85"/>
      <c r="AB436" s="85"/>
      <c r="AC436" s="85"/>
      <c r="AD436" s="85"/>
      <c r="AG436" s="85"/>
      <c r="AH436" s="85"/>
      <c r="AI436" s="85"/>
    </row>
    <row r="437" spans="18:35" x14ac:dyDescent="0.2">
      <c r="R437" s="85"/>
      <c r="S437" s="85"/>
      <c r="T437" s="85"/>
      <c r="W437" s="85"/>
      <c r="X437" s="85"/>
      <c r="Y437" s="85"/>
      <c r="AB437" s="85"/>
      <c r="AC437" s="85"/>
      <c r="AD437" s="85"/>
      <c r="AG437" s="85"/>
      <c r="AH437" s="85"/>
      <c r="AI437" s="85"/>
    </row>
    <row r="438" spans="18:35" x14ac:dyDescent="0.2">
      <c r="R438" s="85"/>
      <c r="S438" s="85"/>
      <c r="T438" s="85"/>
      <c r="W438" s="85"/>
      <c r="X438" s="85"/>
      <c r="Y438" s="85"/>
      <c r="AB438" s="85"/>
      <c r="AC438" s="85"/>
      <c r="AD438" s="85"/>
      <c r="AG438" s="85"/>
      <c r="AH438" s="85"/>
      <c r="AI438" s="85"/>
    </row>
    <row r="439" spans="18:35" x14ac:dyDescent="0.2">
      <c r="R439" s="85"/>
      <c r="S439" s="85"/>
      <c r="T439" s="85"/>
      <c r="W439" s="85"/>
      <c r="X439" s="85"/>
      <c r="Y439" s="85"/>
      <c r="AB439" s="85"/>
      <c r="AC439" s="85"/>
      <c r="AD439" s="85"/>
      <c r="AG439" s="85"/>
      <c r="AH439" s="85"/>
      <c r="AI439" s="85"/>
    </row>
    <row r="440" spans="18:35" x14ac:dyDescent="0.2">
      <c r="R440" s="85"/>
      <c r="S440" s="85"/>
      <c r="T440" s="85"/>
      <c r="W440" s="85"/>
      <c r="X440" s="85"/>
      <c r="Y440" s="85"/>
      <c r="AB440" s="85"/>
      <c r="AC440" s="85"/>
      <c r="AD440" s="85"/>
      <c r="AG440" s="85"/>
      <c r="AH440" s="85"/>
      <c r="AI440" s="85"/>
    </row>
    <row r="441" spans="18:35" x14ac:dyDescent="0.2">
      <c r="R441" s="85"/>
      <c r="S441" s="85"/>
      <c r="T441" s="85"/>
      <c r="W441" s="85"/>
      <c r="X441" s="85"/>
      <c r="Y441" s="85"/>
      <c r="AB441" s="85"/>
      <c r="AC441" s="85"/>
      <c r="AD441" s="85"/>
      <c r="AG441" s="85"/>
      <c r="AH441" s="85"/>
      <c r="AI441" s="85"/>
    </row>
    <row r="442" spans="18:35" x14ac:dyDescent="0.2">
      <c r="R442" s="85"/>
      <c r="S442" s="85"/>
      <c r="T442" s="85"/>
      <c r="W442" s="85"/>
      <c r="X442" s="85"/>
      <c r="Y442" s="85"/>
      <c r="AB442" s="85"/>
      <c r="AC442" s="85"/>
      <c r="AD442" s="85"/>
      <c r="AG442" s="85"/>
      <c r="AH442" s="85"/>
      <c r="AI442" s="85"/>
    </row>
    <row r="443" spans="18:35" x14ac:dyDescent="0.2">
      <c r="R443" s="85"/>
      <c r="S443" s="85"/>
      <c r="T443" s="85"/>
      <c r="W443" s="85"/>
      <c r="X443" s="85"/>
      <c r="Y443" s="85"/>
      <c r="AB443" s="85"/>
      <c r="AC443" s="85"/>
      <c r="AD443" s="85"/>
      <c r="AG443" s="85"/>
      <c r="AH443" s="85"/>
      <c r="AI443" s="85"/>
    </row>
    <row r="444" spans="18:35" x14ac:dyDescent="0.2">
      <c r="R444" s="85"/>
      <c r="S444" s="85"/>
      <c r="T444" s="85"/>
      <c r="W444" s="85"/>
      <c r="X444" s="85"/>
      <c r="Y444" s="85"/>
      <c r="AB444" s="85"/>
      <c r="AC444" s="85"/>
      <c r="AD444" s="85"/>
      <c r="AG444" s="85"/>
      <c r="AH444" s="85"/>
      <c r="AI444" s="85"/>
    </row>
    <row r="445" spans="18:35" x14ac:dyDescent="0.2">
      <c r="R445" s="85"/>
      <c r="S445" s="85"/>
      <c r="T445" s="85"/>
      <c r="W445" s="85"/>
      <c r="X445" s="85"/>
      <c r="Y445" s="85"/>
      <c r="AB445" s="85"/>
      <c r="AC445" s="85"/>
      <c r="AD445" s="85"/>
      <c r="AG445" s="85"/>
      <c r="AH445" s="85"/>
      <c r="AI445" s="85"/>
    </row>
    <row r="446" spans="18:35" x14ac:dyDescent="0.2">
      <c r="R446" s="85"/>
      <c r="S446" s="85"/>
      <c r="T446" s="85"/>
      <c r="W446" s="85"/>
      <c r="X446" s="85"/>
      <c r="Y446" s="85"/>
      <c r="AB446" s="85"/>
      <c r="AC446" s="85"/>
      <c r="AD446" s="85"/>
      <c r="AG446" s="85"/>
      <c r="AH446" s="85"/>
      <c r="AI446" s="85"/>
    </row>
    <row r="447" spans="18:35" x14ac:dyDescent="0.2">
      <c r="R447" s="85"/>
      <c r="S447" s="85"/>
      <c r="T447" s="85"/>
      <c r="W447" s="85"/>
      <c r="X447" s="85"/>
      <c r="Y447" s="85"/>
      <c r="AB447" s="85"/>
      <c r="AC447" s="85"/>
      <c r="AD447" s="85"/>
      <c r="AG447" s="85"/>
      <c r="AH447" s="85"/>
      <c r="AI447" s="85"/>
    </row>
    <row r="448" spans="18:35" x14ac:dyDescent="0.2">
      <c r="R448" s="85"/>
      <c r="S448" s="85"/>
      <c r="T448" s="85"/>
      <c r="W448" s="85"/>
      <c r="X448" s="85"/>
      <c r="Y448" s="85"/>
      <c r="AB448" s="85"/>
      <c r="AC448" s="85"/>
      <c r="AD448" s="85"/>
      <c r="AG448" s="85"/>
      <c r="AH448" s="85"/>
      <c r="AI448" s="85"/>
    </row>
    <row r="449" spans="18:35" x14ac:dyDescent="0.2">
      <c r="R449" s="85"/>
      <c r="S449" s="85"/>
      <c r="T449" s="85"/>
      <c r="W449" s="85"/>
      <c r="X449" s="85"/>
      <c r="Y449" s="85"/>
      <c r="AB449" s="85"/>
      <c r="AC449" s="85"/>
      <c r="AD449" s="85"/>
      <c r="AG449" s="85"/>
      <c r="AH449" s="85"/>
      <c r="AI449" s="85"/>
    </row>
    <row r="450" spans="18:35" x14ac:dyDescent="0.2">
      <c r="R450" s="85"/>
      <c r="S450" s="85"/>
      <c r="T450" s="85"/>
      <c r="W450" s="85"/>
      <c r="X450" s="85"/>
      <c r="Y450" s="85"/>
      <c r="AB450" s="85"/>
      <c r="AC450" s="85"/>
      <c r="AD450" s="85"/>
      <c r="AG450" s="85"/>
      <c r="AH450" s="85"/>
      <c r="AI450" s="85"/>
    </row>
    <row r="451" spans="18:35" x14ac:dyDescent="0.2">
      <c r="R451" s="85"/>
      <c r="S451" s="85"/>
      <c r="T451" s="85"/>
      <c r="W451" s="85"/>
      <c r="X451" s="85"/>
      <c r="Y451" s="85"/>
      <c r="AB451" s="85"/>
      <c r="AC451" s="85"/>
      <c r="AD451" s="85"/>
      <c r="AG451" s="85"/>
      <c r="AH451" s="85"/>
      <c r="AI451" s="85"/>
    </row>
    <row r="452" spans="18:35" x14ac:dyDescent="0.2">
      <c r="R452" s="85"/>
      <c r="S452" s="85"/>
      <c r="T452" s="85"/>
      <c r="W452" s="85"/>
      <c r="X452" s="85"/>
      <c r="Y452" s="85"/>
      <c r="AB452" s="85"/>
      <c r="AC452" s="85"/>
      <c r="AD452" s="85"/>
      <c r="AG452" s="85"/>
      <c r="AH452" s="85"/>
      <c r="AI452" s="85"/>
    </row>
    <row r="453" spans="18:35" x14ac:dyDescent="0.2">
      <c r="R453" s="85"/>
      <c r="S453" s="85"/>
      <c r="T453" s="85"/>
      <c r="W453" s="85"/>
      <c r="X453" s="85"/>
      <c r="Y453" s="85"/>
      <c r="AB453" s="85"/>
      <c r="AC453" s="85"/>
      <c r="AD453" s="85"/>
      <c r="AG453" s="85"/>
      <c r="AH453" s="85"/>
      <c r="AI453" s="85"/>
    </row>
    <row r="454" spans="18:35" x14ac:dyDescent="0.2">
      <c r="R454" s="85"/>
      <c r="S454" s="85"/>
      <c r="T454" s="85"/>
      <c r="W454" s="85"/>
      <c r="X454" s="85"/>
      <c r="Y454" s="85"/>
      <c r="AB454" s="85"/>
      <c r="AC454" s="85"/>
      <c r="AD454" s="85"/>
      <c r="AG454" s="85"/>
      <c r="AH454" s="85"/>
      <c r="AI454" s="85"/>
    </row>
    <row r="455" spans="18:35" x14ac:dyDescent="0.2">
      <c r="R455" s="85"/>
      <c r="S455" s="85"/>
      <c r="T455" s="85"/>
      <c r="W455" s="85"/>
      <c r="X455" s="85"/>
      <c r="Y455" s="85"/>
      <c r="AB455" s="85"/>
      <c r="AC455" s="85"/>
      <c r="AD455" s="85"/>
      <c r="AG455" s="85"/>
      <c r="AH455" s="85"/>
      <c r="AI455" s="85"/>
    </row>
    <row r="456" spans="18:35" x14ac:dyDescent="0.2">
      <c r="R456" s="85"/>
      <c r="S456" s="85"/>
      <c r="T456" s="85"/>
      <c r="W456" s="85"/>
      <c r="X456" s="85"/>
      <c r="Y456" s="85"/>
      <c r="AB456" s="85"/>
      <c r="AC456" s="85"/>
      <c r="AD456" s="85"/>
      <c r="AG456" s="85"/>
      <c r="AH456" s="85"/>
      <c r="AI456" s="85"/>
    </row>
    <row r="457" spans="18:35" x14ac:dyDescent="0.2">
      <c r="R457" s="85"/>
      <c r="S457" s="85"/>
      <c r="T457" s="85"/>
      <c r="W457" s="85"/>
      <c r="X457" s="85"/>
      <c r="Y457" s="85"/>
      <c r="AB457" s="85"/>
      <c r="AC457" s="85"/>
      <c r="AD457" s="85"/>
      <c r="AG457" s="85"/>
      <c r="AH457" s="85"/>
      <c r="AI457" s="85"/>
    </row>
    <row r="458" spans="18:35" x14ac:dyDescent="0.2">
      <c r="R458" s="85"/>
      <c r="S458" s="85"/>
      <c r="T458" s="85"/>
      <c r="W458" s="85"/>
      <c r="X458" s="85"/>
      <c r="Y458" s="85"/>
      <c r="AB458" s="85"/>
      <c r="AC458" s="85"/>
      <c r="AD458" s="85"/>
      <c r="AG458" s="85"/>
      <c r="AH458" s="85"/>
      <c r="AI458" s="85"/>
    </row>
    <row r="459" spans="18:35" x14ac:dyDescent="0.2">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390525</xdr:colOff>
                    <xdr:row>74</xdr:row>
                    <xdr:rowOff>9525</xdr:rowOff>
                  </from>
                  <to>
                    <xdr:col>3</xdr:col>
                    <xdr:colOff>9525</xdr:colOff>
                    <xdr:row>77</xdr:row>
                    <xdr:rowOff>19050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1695450</xdr:colOff>
                    <xdr:row>0</xdr:row>
                    <xdr:rowOff>447675</xdr:rowOff>
                  </from>
                  <to>
                    <xdr:col>16</xdr:col>
                    <xdr:colOff>2076450</xdr:colOff>
                    <xdr:row>1</xdr:row>
                    <xdr:rowOff>28575</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390525</xdr:colOff>
                    <xdr:row>74</xdr:row>
                    <xdr:rowOff>9525</xdr:rowOff>
                  </from>
                  <to>
                    <xdr:col>3</xdr:col>
                    <xdr:colOff>9525</xdr:colOff>
                    <xdr:row>77</xdr:row>
                    <xdr:rowOff>19050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161925</xdr:rowOff>
                  </from>
                  <to>
                    <xdr:col>5</xdr:col>
                    <xdr:colOff>180975</xdr:colOff>
                    <xdr:row>61</xdr:row>
                    <xdr:rowOff>9525</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180975</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180975</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180975</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180975</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9525</xdr:colOff>
                    <xdr:row>23</xdr:row>
                    <xdr:rowOff>0</xdr:rowOff>
                  </from>
                  <to>
                    <xdr:col>1</xdr:col>
                    <xdr:colOff>523875</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171450</xdr:rowOff>
                  </from>
                  <to>
                    <xdr:col>6</xdr:col>
                    <xdr:colOff>0</xdr:colOff>
                    <xdr:row>4</xdr:row>
                    <xdr:rowOff>238125</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19050</xdr:colOff>
                    <xdr:row>108</xdr:row>
                    <xdr:rowOff>0</xdr:rowOff>
                  </from>
                  <to>
                    <xdr:col>2</xdr:col>
                    <xdr:colOff>200025</xdr:colOff>
                    <xdr:row>109</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zoomScaleNormal="100" workbookViewId="0">
      <selection activeCell="C63" sqref="C63"/>
    </sheetView>
  </sheetViews>
  <sheetFormatPr defaultRowHeight="12.75" x14ac:dyDescent="0.2"/>
  <cols>
    <col min="1" max="1" width="8.7109375" style="310" bestFit="1" customWidth="1"/>
    <col min="2" max="2" width="14.85546875" style="310" customWidth="1"/>
    <col min="3" max="3" width="16.140625" style="310" bestFit="1" customWidth="1"/>
    <col min="4" max="4" width="20.140625" style="310" customWidth="1"/>
    <col min="5" max="5" width="17.28515625" style="310" customWidth="1"/>
    <col min="6" max="6" width="20.5703125" style="310" bestFit="1" customWidth="1"/>
    <col min="7" max="7" width="9.7109375" style="310" customWidth="1"/>
    <col min="8" max="8" width="16.140625" style="310" customWidth="1"/>
    <col min="9" max="9" width="18.7109375" style="310" customWidth="1"/>
    <col min="10" max="10" width="12.7109375" style="310" customWidth="1"/>
    <col min="11" max="11" width="17.140625" style="310" customWidth="1"/>
    <col min="12" max="12" width="13.85546875" style="310" customWidth="1"/>
    <col min="13" max="13" width="9.140625" style="311"/>
    <col min="14" max="16" width="9.140625" style="310"/>
    <col min="17" max="17" width="4.85546875" style="310" customWidth="1"/>
    <col min="18" max="256" width="9.140625" style="310"/>
    <col min="257" max="257" width="8.7109375" style="310" bestFit="1" customWidth="1"/>
    <col min="258" max="258" width="13.28515625" style="310" customWidth="1"/>
    <col min="259" max="259" width="16.140625" style="310" bestFit="1" customWidth="1"/>
    <col min="260" max="260" width="23.5703125" style="310" customWidth="1"/>
    <col min="261" max="261" width="17.28515625" style="310" customWidth="1"/>
    <col min="262" max="262" width="20.5703125" style="310" bestFit="1" customWidth="1"/>
    <col min="263" max="263" width="17.140625" style="310" customWidth="1"/>
    <col min="264" max="264" width="21.85546875" style="310" bestFit="1" customWidth="1"/>
    <col min="265" max="265" width="17.140625" style="310" bestFit="1" customWidth="1"/>
    <col min="266" max="266" width="18.140625" style="310" bestFit="1" customWidth="1"/>
    <col min="267" max="267" width="26.42578125" style="310" customWidth="1"/>
    <col min="268" max="512" width="9.140625" style="310"/>
    <col min="513" max="513" width="8.7109375" style="310" bestFit="1" customWidth="1"/>
    <col min="514" max="514" width="13.28515625" style="310" customWidth="1"/>
    <col min="515" max="515" width="16.140625" style="310" bestFit="1" customWidth="1"/>
    <col min="516" max="516" width="23.5703125" style="310" customWidth="1"/>
    <col min="517" max="517" width="17.28515625" style="310" customWidth="1"/>
    <col min="518" max="518" width="20.5703125" style="310" bestFit="1" customWidth="1"/>
    <col min="519" max="519" width="17.140625" style="310" customWidth="1"/>
    <col min="520" max="520" width="21.85546875" style="310" bestFit="1" customWidth="1"/>
    <col min="521" max="521" width="17.140625" style="310" bestFit="1" customWidth="1"/>
    <col min="522" max="522" width="18.140625" style="310" bestFit="1" customWidth="1"/>
    <col min="523" max="523" width="26.42578125" style="310" customWidth="1"/>
    <col min="524" max="768" width="9.140625" style="310"/>
    <col min="769" max="769" width="8.7109375" style="310" bestFit="1" customWidth="1"/>
    <col min="770" max="770" width="13.28515625" style="310" customWidth="1"/>
    <col min="771" max="771" width="16.140625" style="310" bestFit="1" customWidth="1"/>
    <col min="772" max="772" width="23.5703125" style="310" customWidth="1"/>
    <col min="773" max="773" width="17.28515625" style="310" customWidth="1"/>
    <col min="774" max="774" width="20.5703125" style="310" bestFit="1" customWidth="1"/>
    <col min="775" max="775" width="17.140625" style="310" customWidth="1"/>
    <col min="776" max="776" width="21.85546875" style="310" bestFit="1" customWidth="1"/>
    <col min="777" max="777" width="17.140625" style="310" bestFit="1" customWidth="1"/>
    <col min="778" max="778" width="18.140625" style="310" bestFit="1" customWidth="1"/>
    <col min="779" max="779" width="26.42578125" style="310" customWidth="1"/>
    <col min="780" max="1024" width="9.140625" style="310"/>
    <col min="1025" max="1025" width="8.7109375" style="310" bestFit="1" customWidth="1"/>
    <col min="1026" max="1026" width="13.28515625" style="310" customWidth="1"/>
    <col min="1027" max="1027" width="16.140625" style="310" bestFit="1" customWidth="1"/>
    <col min="1028" max="1028" width="23.5703125" style="310" customWidth="1"/>
    <col min="1029" max="1029" width="17.28515625" style="310" customWidth="1"/>
    <col min="1030" max="1030" width="20.5703125" style="310" bestFit="1" customWidth="1"/>
    <col min="1031" max="1031" width="17.140625" style="310" customWidth="1"/>
    <col min="1032" max="1032" width="21.85546875" style="310" bestFit="1" customWidth="1"/>
    <col min="1033" max="1033" width="17.140625" style="310" bestFit="1" customWidth="1"/>
    <col min="1034" max="1034" width="18.140625" style="310" bestFit="1" customWidth="1"/>
    <col min="1035" max="1035" width="26.42578125" style="310" customWidth="1"/>
    <col min="1036" max="1280" width="9.140625" style="310"/>
    <col min="1281" max="1281" width="8.7109375" style="310" bestFit="1" customWidth="1"/>
    <col min="1282" max="1282" width="13.28515625" style="310" customWidth="1"/>
    <col min="1283" max="1283" width="16.140625" style="310" bestFit="1" customWidth="1"/>
    <col min="1284" max="1284" width="23.5703125" style="310" customWidth="1"/>
    <col min="1285" max="1285" width="17.28515625" style="310" customWidth="1"/>
    <col min="1286" max="1286" width="20.5703125" style="310" bestFit="1" customWidth="1"/>
    <col min="1287" max="1287" width="17.140625" style="310" customWidth="1"/>
    <col min="1288" max="1288" width="21.85546875" style="310" bestFit="1" customWidth="1"/>
    <col min="1289" max="1289" width="17.140625" style="310" bestFit="1" customWidth="1"/>
    <col min="1290" max="1290" width="18.140625" style="310" bestFit="1" customWidth="1"/>
    <col min="1291" max="1291" width="26.42578125" style="310" customWidth="1"/>
    <col min="1292" max="1536" width="9.140625" style="310"/>
    <col min="1537" max="1537" width="8.7109375" style="310" bestFit="1" customWidth="1"/>
    <col min="1538" max="1538" width="13.28515625" style="310" customWidth="1"/>
    <col min="1539" max="1539" width="16.140625" style="310" bestFit="1" customWidth="1"/>
    <col min="1540" max="1540" width="23.5703125" style="310" customWidth="1"/>
    <col min="1541" max="1541" width="17.28515625" style="310" customWidth="1"/>
    <col min="1542" max="1542" width="20.5703125" style="310" bestFit="1" customWidth="1"/>
    <col min="1543" max="1543" width="17.140625" style="310" customWidth="1"/>
    <col min="1544" max="1544" width="21.85546875" style="310" bestFit="1" customWidth="1"/>
    <col min="1545" max="1545" width="17.140625" style="310" bestFit="1" customWidth="1"/>
    <col min="1546" max="1546" width="18.140625" style="310" bestFit="1" customWidth="1"/>
    <col min="1547" max="1547" width="26.42578125" style="310" customWidth="1"/>
    <col min="1548" max="1792" width="9.140625" style="310"/>
    <col min="1793" max="1793" width="8.7109375" style="310" bestFit="1" customWidth="1"/>
    <col min="1794" max="1794" width="13.28515625" style="310" customWidth="1"/>
    <col min="1795" max="1795" width="16.140625" style="310" bestFit="1" customWidth="1"/>
    <col min="1796" max="1796" width="23.5703125" style="310" customWidth="1"/>
    <col min="1797" max="1797" width="17.28515625" style="310" customWidth="1"/>
    <col min="1798" max="1798" width="20.5703125" style="310" bestFit="1" customWidth="1"/>
    <col min="1799" max="1799" width="17.140625" style="310" customWidth="1"/>
    <col min="1800" max="1800" width="21.85546875" style="310" bestFit="1" customWidth="1"/>
    <col min="1801" max="1801" width="17.140625" style="310" bestFit="1" customWidth="1"/>
    <col min="1802" max="1802" width="18.140625" style="310" bestFit="1" customWidth="1"/>
    <col min="1803" max="1803" width="26.42578125" style="310" customWidth="1"/>
    <col min="1804" max="2048" width="9.140625" style="310"/>
    <col min="2049" max="2049" width="8.7109375" style="310" bestFit="1" customWidth="1"/>
    <col min="2050" max="2050" width="13.28515625" style="310" customWidth="1"/>
    <col min="2051" max="2051" width="16.140625" style="310" bestFit="1" customWidth="1"/>
    <col min="2052" max="2052" width="23.5703125" style="310" customWidth="1"/>
    <col min="2053" max="2053" width="17.28515625" style="310" customWidth="1"/>
    <col min="2054" max="2054" width="20.5703125" style="310" bestFit="1" customWidth="1"/>
    <col min="2055" max="2055" width="17.140625" style="310" customWidth="1"/>
    <col min="2056" max="2056" width="21.85546875" style="310" bestFit="1" customWidth="1"/>
    <col min="2057" max="2057" width="17.140625" style="310" bestFit="1" customWidth="1"/>
    <col min="2058" max="2058" width="18.140625" style="310" bestFit="1" customWidth="1"/>
    <col min="2059" max="2059" width="26.42578125" style="310" customWidth="1"/>
    <col min="2060" max="2304" width="9.140625" style="310"/>
    <col min="2305" max="2305" width="8.7109375" style="310" bestFit="1" customWidth="1"/>
    <col min="2306" max="2306" width="13.28515625" style="310" customWidth="1"/>
    <col min="2307" max="2307" width="16.140625" style="310" bestFit="1" customWidth="1"/>
    <col min="2308" max="2308" width="23.5703125" style="310" customWidth="1"/>
    <col min="2309" max="2309" width="17.28515625" style="310" customWidth="1"/>
    <col min="2310" max="2310" width="20.5703125" style="310" bestFit="1" customWidth="1"/>
    <col min="2311" max="2311" width="17.140625" style="310" customWidth="1"/>
    <col min="2312" max="2312" width="21.85546875" style="310" bestFit="1" customWidth="1"/>
    <col min="2313" max="2313" width="17.140625" style="310" bestFit="1" customWidth="1"/>
    <col min="2314" max="2314" width="18.140625" style="310" bestFit="1" customWidth="1"/>
    <col min="2315" max="2315" width="26.42578125" style="310" customWidth="1"/>
    <col min="2316" max="2560" width="9.140625" style="310"/>
    <col min="2561" max="2561" width="8.7109375" style="310" bestFit="1" customWidth="1"/>
    <col min="2562" max="2562" width="13.28515625" style="310" customWidth="1"/>
    <col min="2563" max="2563" width="16.140625" style="310" bestFit="1" customWidth="1"/>
    <col min="2564" max="2564" width="23.5703125" style="310" customWidth="1"/>
    <col min="2565" max="2565" width="17.28515625" style="310" customWidth="1"/>
    <col min="2566" max="2566" width="20.5703125" style="310" bestFit="1" customWidth="1"/>
    <col min="2567" max="2567" width="17.140625" style="310" customWidth="1"/>
    <col min="2568" max="2568" width="21.85546875" style="310" bestFit="1" customWidth="1"/>
    <col min="2569" max="2569" width="17.140625" style="310" bestFit="1" customWidth="1"/>
    <col min="2570" max="2570" width="18.140625" style="310" bestFit="1" customWidth="1"/>
    <col min="2571" max="2571" width="26.42578125" style="310" customWidth="1"/>
    <col min="2572" max="2816" width="9.140625" style="310"/>
    <col min="2817" max="2817" width="8.7109375" style="310" bestFit="1" customWidth="1"/>
    <col min="2818" max="2818" width="13.28515625" style="310" customWidth="1"/>
    <col min="2819" max="2819" width="16.140625" style="310" bestFit="1" customWidth="1"/>
    <col min="2820" max="2820" width="23.5703125" style="310" customWidth="1"/>
    <col min="2821" max="2821" width="17.28515625" style="310" customWidth="1"/>
    <col min="2822" max="2822" width="20.5703125" style="310" bestFit="1" customWidth="1"/>
    <col min="2823" max="2823" width="17.140625" style="310" customWidth="1"/>
    <col min="2824" max="2824" width="21.85546875" style="310" bestFit="1" customWidth="1"/>
    <col min="2825" max="2825" width="17.140625" style="310" bestFit="1" customWidth="1"/>
    <col min="2826" max="2826" width="18.140625" style="310" bestFit="1" customWidth="1"/>
    <col min="2827" max="2827" width="26.42578125" style="310" customWidth="1"/>
    <col min="2828" max="3072" width="9.140625" style="310"/>
    <col min="3073" max="3073" width="8.7109375" style="310" bestFit="1" customWidth="1"/>
    <col min="3074" max="3074" width="13.28515625" style="310" customWidth="1"/>
    <col min="3075" max="3075" width="16.140625" style="310" bestFit="1" customWidth="1"/>
    <col min="3076" max="3076" width="23.5703125" style="310" customWidth="1"/>
    <col min="3077" max="3077" width="17.28515625" style="310" customWidth="1"/>
    <col min="3078" max="3078" width="20.5703125" style="310" bestFit="1" customWidth="1"/>
    <col min="3079" max="3079" width="17.140625" style="310" customWidth="1"/>
    <col min="3080" max="3080" width="21.85546875" style="310" bestFit="1" customWidth="1"/>
    <col min="3081" max="3081" width="17.140625" style="310" bestFit="1" customWidth="1"/>
    <col min="3082" max="3082" width="18.140625" style="310" bestFit="1" customWidth="1"/>
    <col min="3083" max="3083" width="26.42578125" style="310" customWidth="1"/>
    <col min="3084" max="3328" width="9.140625" style="310"/>
    <col min="3329" max="3329" width="8.7109375" style="310" bestFit="1" customWidth="1"/>
    <col min="3330" max="3330" width="13.28515625" style="310" customWidth="1"/>
    <col min="3331" max="3331" width="16.140625" style="310" bestFit="1" customWidth="1"/>
    <col min="3332" max="3332" width="23.5703125" style="310" customWidth="1"/>
    <col min="3333" max="3333" width="17.28515625" style="310" customWidth="1"/>
    <col min="3334" max="3334" width="20.5703125" style="310" bestFit="1" customWidth="1"/>
    <col min="3335" max="3335" width="17.140625" style="310" customWidth="1"/>
    <col min="3336" max="3336" width="21.85546875" style="310" bestFit="1" customWidth="1"/>
    <col min="3337" max="3337" width="17.140625" style="310" bestFit="1" customWidth="1"/>
    <col min="3338" max="3338" width="18.140625" style="310" bestFit="1" customWidth="1"/>
    <col min="3339" max="3339" width="26.42578125" style="310" customWidth="1"/>
    <col min="3340" max="3584" width="9.140625" style="310"/>
    <col min="3585" max="3585" width="8.7109375" style="310" bestFit="1" customWidth="1"/>
    <col min="3586" max="3586" width="13.28515625" style="310" customWidth="1"/>
    <col min="3587" max="3587" width="16.140625" style="310" bestFit="1" customWidth="1"/>
    <col min="3588" max="3588" width="23.5703125" style="310" customWidth="1"/>
    <col min="3589" max="3589" width="17.28515625" style="310" customWidth="1"/>
    <col min="3590" max="3590" width="20.5703125" style="310" bestFit="1" customWidth="1"/>
    <col min="3591" max="3591" width="17.140625" style="310" customWidth="1"/>
    <col min="3592" max="3592" width="21.85546875" style="310" bestFit="1" customWidth="1"/>
    <col min="3593" max="3593" width="17.140625" style="310" bestFit="1" customWidth="1"/>
    <col min="3594" max="3594" width="18.140625" style="310" bestFit="1" customWidth="1"/>
    <col min="3595" max="3595" width="26.42578125" style="310" customWidth="1"/>
    <col min="3596" max="3840" width="9.140625" style="310"/>
    <col min="3841" max="3841" width="8.7109375" style="310" bestFit="1" customWidth="1"/>
    <col min="3842" max="3842" width="13.28515625" style="310" customWidth="1"/>
    <col min="3843" max="3843" width="16.140625" style="310" bestFit="1" customWidth="1"/>
    <col min="3844" max="3844" width="23.5703125" style="310" customWidth="1"/>
    <col min="3845" max="3845" width="17.28515625" style="310" customWidth="1"/>
    <col min="3846" max="3846" width="20.5703125" style="310" bestFit="1" customWidth="1"/>
    <col min="3847" max="3847" width="17.140625" style="310" customWidth="1"/>
    <col min="3848" max="3848" width="21.85546875" style="310" bestFit="1" customWidth="1"/>
    <col min="3849" max="3849" width="17.140625" style="310" bestFit="1" customWidth="1"/>
    <col min="3850" max="3850" width="18.140625" style="310" bestFit="1" customWidth="1"/>
    <col min="3851" max="3851" width="26.42578125" style="310" customWidth="1"/>
    <col min="3852" max="4096" width="9.140625" style="310"/>
    <col min="4097" max="4097" width="8.7109375" style="310" bestFit="1" customWidth="1"/>
    <col min="4098" max="4098" width="13.28515625" style="310" customWidth="1"/>
    <col min="4099" max="4099" width="16.140625" style="310" bestFit="1" customWidth="1"/>
    <col min="4100" max="4100" width="23.5703125" style="310" customWidth="1"/>
    <col min="4101" max="4101" width="17.28515625" style="310" customWidth="1"/>
    <col min="4102" max="4102" width="20.5703125" style="310" bestFit="1" customWidth="1"/>
    <col min="4103" max="4103" width="17.140625" style="310" customWidth="1"/>
    <col min="4104" max="4104" width="21.85546875" style="310" bestFit="1" customWidth="1"/>
    <col min="4105" max="4105" width="17.140625" style="310" bestFit="1" customWidth="1"/>
    <col min="4106" max="4106" width="18.140625" style="310" bestFit="1" customWidth="1"/>
    <col min="4107" max="4107" width="26.42578125" style="310" customWidth="1"/>
    <col min="4108" max="4352" width="9.140625" style="310"/>
    <col min="4353" max="4353" width="8.7109375" style="310" bestFit="1" customWidth="1"/>
    <col min="4354" max="4354" width="13.28515625" style="310" customWidth="1"/>
    <col min="4355" max="4355" width="16.140625" style="310" bestFit="1" customWidth="1"/>
    <col min="4356" max="4356" width="23.5703125" style="310" customWidth="1"/>
    <col min="4357" max="4357" width="17.28515625" style="310" customWidth="1"/>
    <col min="4358" max="4358" width="20.5703125" style="310" bestFit="1" customWidth="1"/>
    <col min="4359" max="4359" width="17.140625" style="310" customWidth="1"/>
    <col min="4360" max="4360" width="21.85546875" style="310" bestFit="1" customWidth="1"/>
    <col min="4361" max="4361" width="17.140625" style="310" bestFit="1" customWidth="1"/>
    <col min="4362" max="4362" width="18.140625" style="310" bestFit="1" customWidth="1"/>
    <col min="4363" max="4363" width="26.42578125" style="310" customWidth="1"/>
    <col min="4364" max="4608" width="9.140625" style="310"/>
    <col min="4609" max="4609" width="8.7109375" style="310" bestFit="1" customWidth="1"/>
    <col min="4610" max="4610" width="13.28515625" style="310" customWidth="1"/>
    <col min="4611" max="4611" width="16.140625" style="310" bestFit="1" customWidth="1"/>
    <col min="4612" max="4612" width="23.5703125" style="310" customWidth="1"/>
    <col min="4613" max="4613" width="17.28515625" style="310" customWidth="1"/>
    <col min="4614" max="4614" width="20.5703125" style="310" bestFit="1" customWidth="1"/>
    <col min="4615" max="4615" width="17.140625" style="310" customWidth="1"/>
    <col min="4616" max="4616" width="21.85546875" style="310" bestFit="1" customWidth="1"/>
    <col min="4617" max="4617" width="17.140625" style="310" bestFit="1" customWidth="1"/>
    <col min="4618" max="4618" width="18.140625" style="310" bestFit="1" customWidth="1"/>
    <col min="4619" max="4619" width="26.42578125" style="310" customWidth="1"/>
    <col min="4620" max="4864" width="9.140625" style="310"/>
    <col min="4865" max="4865" width="8.7109375" style="310" bestFit="1" customWidth="1"/>
    <col min="4866" max="4866" width="13.28515625" style="310" customWidth="1"/>
    <col min="4867" max="4867" width="16.140625" style="310" bestFit="1" customWidth="1"/>
    <col min="4868" max="4868" width="23.5703125" style="310" customWidth="1"/>
    <col min="4869" max="4869" width="17.28515625" style="310" customWidth="1"/>
    <col min="4870" max="4870" width="20.5703125" style="310" bestFit="1" customWidth="1"/>
    <col min="4871" max="4871" width="17.140625" style="310" customWidth="1"/>
    <col min="4872" max="4872" width="21.85546875" style="310" bestFit="1" customWidth="1"/>
    <col min="4873" max="4873" width="17.140625" style="310" bestFit="1" customWidth="1"/>
    <col min="4874" max="4874" width="18.140625" style="310" bestFit="1" customWidth="1"/>
    <col min="4875" max="4875" width="26.42578125" style="310" customWidth="1"/>
    <col min="4876" max="5120" width="9.140625" style="310"/>
    <col min="5121" max="5121" width="8.7109375" style="310" bestFit="1" customWidth="1"/>
    <col min="5122" max="5122" width="13.28515625" style="310" customWidth="1"/>
    <col min="5123" max="5123" width="16.140625" style="310" bestFit="1" customWidth="1"/>
    <col min="5124" max="5124" width="23.5703125" style="310" customWidth="1"/>
    <col min="5125" max="5125" width="17.28515625" style="310" customWidth="1"/>
    <col min="5126" max="5126" width="20.5703125" style="310" bestFit="1" customWidth="1"/>
    <col min="5127" max="5127" width="17.140625" style="310" customWidth="1"/>
    <col min="5128" max="5128" width="21.85546875" style="310" bestFit="1" customWidth="1"/>
    <col min="5129" max="5129" width="17.140625" style="310" bestFit="1" customWidth="1"/>
    <col min="5130" max="5130" width="18.140625" style="310" bestFit="1" customWidth="1"/>
    <col min="5131" max="5131" width="26.42578125" style="310" customWidth="1"/>
    <col min="5132" max="5376" width="9.140625" style="310"/>
    <col min="5377" max="5377" width="8.7109375" style="310" bestFit="1" customWidth="1"/>
    <col min="5378" max="5378" width="13.28515625" style="310" customWidth="1"/>
    <col min="5379" max="5379" width="16.140625" style="310" bestFit="1" customWidth="1"/>
    <col min="5380" max="5380" width="23.5703125" style="310" customWidth="1"/>
    <col min="5381" max="5381" width="17.28515625" style="310" customWidth="1"/>
    <col min="5382" max="5382" width="20.5703125" style="310" bestFit="1" customWidth="1"/>
    <col min="5383" max="5383" width="17.140625" style="310" customWidth="1"/>
    <col min="5384" max="5384" width="21.85546875" style="310" bestFit="1" customWidth="1"/>
    <col min="5385" max="5385" width="17.140625" style="310" bestFit="1" customWidth="1"/>
    <col min="5386" max="5386" width="18.140625" style="310" bestFit="1" customWidth="1"/>
    <col min="5387" max="5387" width="26.42578125" style="310" customWidth="1"/>
    <col min="5388" max="5632" width="9.140625" style="310"/>
    <col min="5633" max="5633" width="8.7109375" style="310" bestFit="1" customWidth="1"/>
    <col min="5634" max="5634" width="13.28515625" style="310" customWidth="1"/>
    <col min="5635" max="5635" width="16.140625" style="310" bestFit="1" customWidth="1"/>
    <col min="5636" max="5636" width="23.5703125" style="310" customWidth="1"/>
    <col min="5637" max="5637" width="17.28515625" style="310" customWidth="1"/>
    <col min="5638" max="5638" width="20.5703125" style="310" bestFit="1" customWidth="1"/>
    <col min="5639" max="5639" width="17.140625" style="310" customWidth="1"/>
    <col min="5640" max="5640" width="21.85546875" style="310" bestFit="1" customWidth="1"/>
    <col min="5641" max="5641" width="17.140625" style="310" bestFit="1" customWidth="1"/>
    <col min="5642" max="5642" width="18.140625" style="310" bestFit="1" customWidth="1"/>
    <col min="5643" max="5643" width="26.42578125" style="310" customWidth="1"/>
    <col min="5644" max="5888" width="9.140625" style="310"/>
    <col min="5889" max="5889" width="8.7109375" style="310" bestFit="1" customWidth="1"/>
    <col min="5890" max="5890" width="13.28515625" style="310" customWidth="1"/>
    <col min="5891" max="5891" width="16.140625" style="310" bestFit="1" customWidth="1"/>
    <col min="5892" max="5892" width="23.5703125" style="310" customWidth="1"/>
    <col min="5893" max="5893" width="17.28515625" style="310" customWidth="1"/>
    <col min="5894" max="5894" width="20.5703125" style="310" bestFit="1" customWidth="1"/>
    <col min="5895" max="5895" width="17.140625" style="310" customWidth="1"/>
    <col min="5896" max="5896" width="21.85546875" style="310" bestFit="1" customWidth="1"/>
    <col min="5897" max="5897" width="17.140625" style="310" bestFit="1" customWidth="1"/>
    <col min="5898" max="5898" width="18.140625" style="310" bestFit="1" customWidth="1"/>
    <col min="5899" max="5899" width="26.42578125" style="310" customWidth="1"/>
    <col min="5900" max="6144" width="9.140625" style="310"/>
    <col min="6145" max="6145" width="8.7109375" style="310" bestFit="1" customWidth="1"/>
    <col min="6146" max="6146" width="13.28515625" style="310" customWidth="1"/>
    <col min="6147" max="6147" width="16.140625" style="310" bestFit="1" customWidth="1"/>
    <col min="6148" max="6148" width="23.5703125" style="310" customWidth="1"/>
    <col min="6149" max="6149" width="17.28515625" style="310" customWidth="1"/>
    <col min="6150" max="6150" width="20.5703125" style="310" bestFit="1" customWidth="1"/>
    <col min="6151" max="6151" width="17.140625" style="310" customWidth="1"/>
    <col min="6152" max="6152" width="21.85546875" style="310" bestFit="1" customWidth="1"/>
    <col min="6153" max="6153" width="17.140625" style="310" bestFit="1" customWidth="1"/>
    <col min="6154" max="6154" width="18.140625" style="310" bestFit="1" customWidth="1"/>
    <col min="6155" max="6155" width="26.42578125" style="310" customWidth="1"/>
    <col min="6156" max="6400" width="9.140625" style="310"/>
    <col min="6401" max="6401" width="8.7109375" style="310" bestFit="1" customWidth="1"/>
    <col min="6402" max="6402" width="13.28515625" style="310" customWidth="1"/>
    <col min="6403" max="6403" width="16.140625" style="310" bestFit="1" customWidth="1"/>
    <col min="6404" max="6404" width="23.5703125" style="310" customWidth="1"/>
    <col min="6405" max="6405" width="17.28515625" style="310" customWidth="1"/>
    <col min="6406" max="6406" width="20.5703125" style="310" bestFit="1" customWidth="1"/>
    <col min="6407" max="6407" width="17.140625" style="310" customWidth="1"/>
    <col min="6408" max="6408" width="21.85546875" style="310" bestFit="1" customWidth="1"/>
    <col min="6409" max="6409" width="17.140625" style="310" bestFit="1" customWidth="1"/>
    <col min="6410" max="6410" width="18.140625" style="310" bestFit="1" customWidth="1"/>
    <col min="6411" max="6411" width="26.42578125" style="310" customWidth="1"/>
    <col min="6412" max="6656" width="9.140625" style="310"/>
    <col min="6657" max="6657" width="8.7109375" style="310" bestFit="1" customWidth="1"/>
    <col min="6658" max="6658" width="13.28515625" style="310" customWidth="1"/>
    <col min="6659" max="6659" width="16.140625" style="310" bestFit="1" customWidth="1"/>
    <col min="6660" max="6660" width="23.5703125" style="310" customWidth="1"/>
    <col min="6661" max="6661" width="17.28515625" style="310" customWidth="1"/>
    <col min="6662" max="6662" width="20.5703125" style="310" bestFit="1" customWidth="1"/>
    <col min="6663" max="6663" width="17.140625" style="310" customWidth="1"/>
    <col min="6664" max="6664" width="21.85546875" style="310" bestFit="1" customWidth="1"/>
    <col min="6665" max="6665" width="17.140625" style="310" bestFit="1" customWidth="1"/>
    <col min="6666" max="6666" width="18.140625" style="310" bestFit="1" customWidth="1"/>
    <col min="6667" max="6667" width="26.42578125" style="310" customWidth="1"/>
    <col min="6668" max="6912" width="9.140625" style="310"/>
    <col min="6913" max="6913" width="8.7109375" style="310" bestFit="1" customWidth="1"/>
    <col min="6914" max="6914" width="13.28515625" style="310" customWidth="1"/>
    <col min="6915" max="6915" width="16.140625" style="310" bestFit="1" customWidth="1"/>
    <col min="6916" max="6916" width="23.5703125" style="310" customWidth="1"/>
    <col min="6917" max="6917" width="17.28515625" style="310" customWidth="1"/>
    <col min="6918" max="6918" width="20.5703125" style="310" bestFit="1" customWidth="1"/>
    <col min="6919" max="6919" width="17.140625" style="310" customWidth="1"/>
    <col min="6920" max="6920" width="21.85546875" style="310" bestFit="1" customWidth="1"/>
    <col min="6921" max="6921" width="17.140625" style="310" bestFit="1" customWidth="1"/>
    <col min="6922" max="6922" width="18.140625" style="310" bestFit="1" customWidth="1"/>
    <col min="6923" max="6923" width="26.42578125" style="310" customWidth="1"/>
    <col min="6924" max="7168" width="9.140625" style="310"/>
    <col min="7169" max="7169" width="8.7109375" style="310" bestFit="1" customWidth="1"/>
    <col min="7170" max="7170" width="13.28515625" style="310" customWidth="1"/>
    <col min="7171" max="7171" width="16.140625" style="310" bestFit="1" customWidth="1"/>
    <col min="7172" max="7172" width="23.5703125" style="310" customWidth="1"/>
    <col min="7173" max="7173" width="17.28515625" style="310" customWidth="1"/>
    <col min="7174" max="7174" width="20.5703125" style="310" bestFit="1" customWidth="1"/>
    <col min="7175" max="7175" width="17.140625" style="310" customWidth="1"/>
    <col min="7176" max="7176" width="21.85546875" style="310" bestFit="1" customWidth="1"/>
    <col min="7177" max="7177" width="17.140625" style="310" bestFit="1" customWidth="1"/>
    <col min="7178" max="7178" width="18.140625" style="310" bestFit="1" customWidth="1"/>
    <col min="7179" max="7179" width="26.42578125" style="310" customWidth="1"/>
    <col min="7180" max="7424" width="9.140625" style="310"/>
    <col min="7425" max="7425" width="8.7109375" style="310" bestFit="1" customWidth="1"/>
    <col min="7426" max="7426" width="13.28515625" style="310" customWidth="1"/>
    <col min="7427" max="7427" width="16.140625" style="310" bestFit="1" customWidth="1"/>
    <col min="7428" max="7428" width="23.5703125" style="310" customWidth="1"/>
    <col min="7429" max="7429" width="17.28515625" style="310" customWidth="1"/>
    <col min="7430" max="7430" width="20.5703125" style="310" bestFit="1" customWidth="1"/>
    <col min="7431" max="7431" width="17.140625" style="310" customWidth="1"/>
    <col min="7432" max="7432" width="21.85546875" style="310" bestFit="1" customWidth="1"/>
    <col min="7433" max="7433" width="17.140625" style="310" bestFit="1" customWidth="1"/>
    <col min="7434" max="7434" width="18.140625" style="310" bestFit="1" customWidth="1"/>
    <col min="7435" max="7435" width="26.42578125" style="310" customWidth="1"/>
    <col min="7436" max="7680" width="9.140625" style="310"/>
    <col min="7681" max="7681" width="8.7109375" style="310" bestFit="1" customWidth="1"/>
    <col min="7682" max="7682" width="13.28515625" style="310" customWidth="1"/>
    <col min="7683" max="7683" width="16.140625" style="310" bestFit="1" customWidth="1"/>
    <col min="7684" max="7684" width="23.5703125" style="310" customWidth="1"/>
    <col min="7685" max="7685" width="17.28515625" style="310" customWidth="1"/>
    <col min="7686" max="7686" width="20.5703125" style="310" bestFit="1" customWidth="1"/>
    <col min="7687" max="7687" width="17.140625" style="310" customWidth="1"/>
    <col min="7688" max="7688" width="21.85546875" style="310" bestFit="1" customWidth="1"/>
    <col min="7689" max="7689" width="17.140625" style="310" bestFit="1" customWidth="1"/>
    <col min="7690" max="7690" width="18.140625" style="310" bestFit="1" customWidth="1"/>
    <col min="7691" max="7691" width="26.42578125" style="310" customWidth="1"/>
    <col min="7692" max="7936" width="9.140625" style="310"/>
    <col min="7937" max="7937" width="8.7109375" style="310" bestFit="1" customWidth="1"/>
    <col min="7938" max="7938" width="13.28515625" style="310" customWidth="1"/>
    <col min="7939" max="7939" width="16.140625" style="310" bestFit="1" customWidth="1"/>
    <col min="7940" max="7940" width="23.5703125" style="310" customWidth="1"/>
    <col min="7941" max="7941" width="17.28515625" style="310" customWidth="1"/>
    <col min="7942" max="7942" width="20.5703125" style="310" bestFit="1" customWidth="1"/>
    <col min="7943" max="7943" width="17.140625" style="310" customWidth="1"/>
    <col min="7944" max="7944" width="21.85546875" style="310" bestFit="1" customWidth="1"/>
    <col min="7945" max="7945" width="17.140625" style="310" bestFit="1" customWidth="1"/>
    <col min="7946" max="7946" width="18.140625" style="310" bestFit="1" customWidth="1"/>
    <col min="7947" max="7947" width="26.42578125" style="310" customWidth="1"/>
    <col min="7948" max="8192" width="9.140625" style="310"/>
    <col min="8193" max="8193" width="8.7109375" style="310" bestFit="1" customWidth="1"/>
    <col min="8194" max="8194" width="13.28515625" style="310" customWidth="1"/>
    <col min="8195" max="8195" width="16.140625" style="310" bestFit="1" customWidth="1"/>
    <col min="8196" max="8196" width="23.5703125" style="310" customWidth="1"/>
    <col min="8197" max="8197" width="17.28515625" style="310" customWidth="1"/>
    <col min="8198" max="8198" width="20.5703125" style="310" bestFit="1" customWidth="1"/>
    <col min="8199" max="8199" width="17.140625" style="310" customWidth="1"/>
    <col min="8200" max="8200" width="21.85546875" style="310" bestFit="1" customWidth="1"/>
    <col min="8201" max="8201" width="17.140625" style="310" bestFit="1" customWidth="1"/>
    <col min="8202" max="8202" width="18.140625" style="310" bestFit="1" customWidth="1"/>
    <col min="8203" max="8203" width="26.42578125" style="310" customWidth="1"/>
    <col min="8204" max="8448" width="9.140625" style="310"/>
    <col min="8449" max="8449" width="8.7109375" style="310" bestFit="1" customWidth="1"/>
    <col min="8450" max="8450" width="13.28515625" style="310" customWidth="1"/>
    <col min="8451" max="8451" width="16.140625" style="310" bestFit="1" customWidth="1"/>
    <col min="8452" max="8452" width="23.5703125" style="310" customWidth="1"/>
    <col min="8453" max="8453" width="17.28515625" style="310" customWidth="1"/>
    <col min="8454" max="8454" width="20.5703125" style="310" bestFit="1" customWidth="1"/>
    <col min="8455" max="8455" width="17.140625" style="310" customWidth="1"/>
    <col min="8456" max="8456" width="21.85546875" style="310" bestFit="1" customWidth="1"/>
    <col min="8457" max="8457" width="17.140625" style="310" bestFit="1" customWidth="1"/>
    <col min="8458" max="8458" width="18.140625" style="310" bestFit="1" customWidth="1"/>
    <col min="8459" max="8459" width="26.42578125" style="310" customWidth="1"/>
    <col min="8460" max="8704" width="9.140625" style="310"/>
    <col min="8705" max="8705" width="8.7109375" style="310" bestFit="1" customWidth="1"/>
    <col min="8706" max="8706" width="13.28515625" style="310" customWidth="1"/>
    <col min="8707" max="8707" width="16.140625" style="310" bestFit="1" customWidth="1"/>
    <col min="8708" max="8708" width="23.5703125" style="310" customWidth="1"/>
    <col min="8709" max="8709" width="17.28515625" style="310" customWidth="1"/>
    <col min="8710" max="8710" width="20.5703125" style="310" bestFit="1" customWidth="1"/>
    <col min="8711" max="8711" width="17.140625" style="310" customWidth="1"/>
    <col min="8712" max="8712" width="21.85546875" style="310" bestFit="1" customWidth="1"/>
    <col min="8713" max="8713" width="17.140625" style="310" bestFit="1" customWidth="1"/>
    <col min="8714" max="8714" width="18.140625" style="310" bestFit="1" customWidth="1"/>
    <col min="8715" max="8715" width="26.42578125" style="310" customWidth="1"/>
    <col min="8716" max="8960" width="9.140625" style="310"/>
    <col min="8961" max="8961" width="8.7109375" style="310" bestFit="1" customWidth="1"/>
    <col min="8962" max="8962" width="13.28515625" style="310" customWidth="1"/>
    <col min="8963" max="8963" width="16.140625" style="310" bestFit="1" customWidth="1"/>
    <col min="8964" max="8964" width="23.5703125" style="310" customWidth="1"/>
    <col min="8965" max="8965" width="17.28515625" style="310" customWidth="1"/>
    <col min="8966" max="8966" width="20.5703125" style="310" bestFit="1" customWidth="1"/>
    <col min="8967" max="8967" width="17.140625" style="310" customWidth="1"/>
    <col min="8968" max="8968" width="21.85546875" style="310" bestFit="1" customWidth="1"/>
    <col min="8969" max="8969" width="17.140625" style="310" bestFit="1" customWidth="1"/>
    <col min="8970" max="8970" width="18.140625" style="310" bestFit="1" customWidth="1"/>
    <col min="8971" max="8971" width="26.42578125" style="310" customWidth="1"/>
    <col min="8972" max="9216" width="9.140625" style="310"/>
    <col min="9217" max="9217" width="8.7109375" style="310" bestFit="1" customWidth="1"/>
    <col min="9218" max="9218" width="13.28515625" style="310" customWidth="1"/>
    <col min="9219" max="9219" width="16.140625" style="310" bestFit="1" customWidth="1"/>
    <col min="9220" max="9220" width="23.5703125" style="310" customWidth="1"/>
    <col min="9221" max="9221" width="17.28515625" style="310" customWidth="1"/>
    <col min="9222" max="9222" width="20.5703125" style="310" bestFit="1" customWidth="1"/>
    <col min="9223" max="9223" width="17.140625" style="310" customWidth="1"/>
    <col min="9224" max="9224" width="21.85546875" style="310" bestFit="1" customWidth="1"/>
    <col min="9225" max="9225" width="17.140625" style="310" bestFit="1" customWidth="1"/>
    <col min="9226" max="9226" width="18.140625" style="310" bestFit="1" customWidth="1"/>
    <col min="9227" max="9227" width="26.42578125" style="310" customWidth="1"/>
    <col min="9228" max="9472" width="9.140625" style="310"/>
    <col min="9473" max="9473" width="8.7109375" style="310" bestFit="1" customWidth="1"/>
    <col min="9474" max="9474" width="13.28515625" style="310" customWidth="1"/>
    <col min="9475" max="9475" width="16.140625" style="310" bestFit="1" customWidth="1"/>
    <col min="9476" max="9476" width="23.5703125" style="310" customWidth="1"/>
    <col min="9477" max="9477" width="17.28515625" style="310" customWidth="1"/>
    <col min="9478" max="9478" width="20.5703125" style="310" bestFit="1" customWidth="1"/>
    <col min="9479" max="9479" width="17.140625" style="310" customWidth="1"/>
    <col min="9480" max="9480" width="21.85546875" style="310" bestFit="1" customWidth="1"/>
    <col min="9481" max="9481" width="17.140625" style="310" bestFit="1" customWidth="1"/>
    <col min="9482" max="9482" width="18.140625" style="310" bestFit="1" customWidth="1"/>
    <col min="9483" max="9483" width="26.42578125" style="310" customWidth="1"/>
    <col min="9484" max="9728" width="9.140625" style="310"/>
    <col min="9729" max="9729" width="8.7109375" style="310" bestFit="1" customWidth="1"/>
    <col min="9730" max="9730" width="13.28515625" style="310" customWidth="1"/>
    <col min="9731" max="9731" width="16.140625" style="310" bestFit="1" customWidth="1"/>
    <col min="9732" max="9732" width="23.5703125" style="310" customWidth="1"/>
    <col min="9733" max="9733" width="17.28515625" style="310" customWidth="1"/>
    <col min="9734" max="9734" width="20.5703125" style="310" bestFit="1" customWidth="1"/>
    <col min="9735" max="9735" width="17.140625" style="310" customWidth="1"/>
    <col min="9736" max="9736" width="21.85546875" style="310" bestFit="1" customWidth="1"/>
    <col min="9737" max="9737" width="17.140625" style="310" bestFit="1" customWidth="1"/>
    <col min="9738" max="9738" width="18.140625" style="310" bestFit="1" customWidth="1"/>
    <col min="9739" max="9739" width="26.42578125" style="310" customWidth="1"/>
    <col min="9740" max="9984" width="9.140625" style="310"/>
    <col min="9985" max="9985" width="8.7109375" style="310" bestFit="1" customWidth="1"/>
    <col min="9986" max="9986" width="13.28515625" style="310" customWidth="1"/>
    <col min="9987" max="9987" width="16.140625" style="310" bestFit="1" customWidth="1"/>
    <col min="9988" max="9988" width="23.5703125" style="310" customWidth="1"/>
    <col min="9989" max="9989" width="17.28515625" style="310" customWidth="1"/>
    <col min="9990" max="9990" width="20.5703125" style="310" bestFit="1" customWidth="1"/>
    <col min="9991" max="9991" width="17.140625" style="310" customWidth="1"/>
    <col min="9992" max="9992" width="21.85546875" style="310" bestFit="1" customWidth="1"/>
    <col min="9993" max="9993" width="17.140625" style="310" bestFit="1" customWidth="1"/>
    <col min="9994" max="9994" width="18.140625" style="310" bestFit="1" customWidth="1"/>
    <col min="9995" max="9995" width="26.42578125" style="310" customWidth="1"/>
    <col min="9996" max="10240" width="9.140625" style="310"/>
    <col min="10241" max="10241" width="8.7109375" style="310" bestFit="1" customWidth="1"/>
    <col min="10242" max="10242" width="13.28515625" style="310" customWidth="1"/>
    <col min="10243" max="10243" width="16.140625" style="310" bestFit="1" customWidth="1"/>
    <col min="10244" max="10244" width="23.5703125" style="310" customWidth="1"/>
    <col min="10245" max="10245" width="17.28515625" style="310" customWidth="1"/>
    <col min="10246" max="10246" width="20.5703125" style="310" bestFit="1" customWidth="1"/>
    <col min="10247" max="10247" width="17.140625" style="310" customWidth="1"/>
    <col min="10248" max="10248" width="21.85546875" style="310" bestFit="1" customWidth="1"/>
    <col min="10249" max="10249" width="17.140625" style="310" bestFit="1" customWidth="1"/>
    <col min="10250" max="10250" width="18.140625" style="310" bestFit="1" customWidth="1"/>
    <col min="10251" max="10251" width="26.42578125" style="310" customWidth="1"/>
    <col min="10252" max="10496" width="9.140625" style="310"/>
    <col min="10497" max="10497" width="8.7109375" style="310" bestFit="1" customWidth="1"/>
    <col min="10498" max="10498" width="13.28515625" style="310" customWidth="1"/>
    <col min="10499" max="10499" width="16.140625" style="310" bestFit="1" customWidth="1"/>
    <col min="10500" max="10500" width="23.5703125" style="310" customWidth="1"/>
    <col min="10501" max="10501" width="17.28515625" style="310" customWidth="1"/>
    <col min="10502" max="10502" width="20.5703125" style="310" bestFit="1" customWidth="1"/>
    <col min="10503" max="10503" width="17.140625" style="310" customWidth="1"/>
    <col min="10504" max="10504" width="21.85546875" style="310" bestFit="1" customWidth="1"/>
    <col min="10505" max="10505" width="17.140625" style="310" bestFit="1" customWidth="1"/>
    <col min="10506" max="10506" width="18.140625" style="310" bestFit="1" customWidth="1"/>
    <col min="10507" max="10507" width="26.42578125" style="310" customWidth="1"/>
    <col min="10508" max="10752" width="9.140625" style="310"/>
    <col min="10753" max="10753" width="8.7109375" style="310" bestFit="1" customWidth="1"/>
    <col min="10754" max="10754" width="13.28515625" style="310" customWidth="1"/>
    <col min="10755" max="10755" width="16.140625" style="310" bestFit="1" customWidth="1"/>
    <col min="10756" max="10756" width="23.5703125" style="310" customWidth="1"/>
    <col min="10757" max="10757" width="17.28515625" style="310" customWidth="1"/>
    <col min="10758" max="10758" width="20.5703125" style="310" bestFit="1" customWidth="1"/>
    <col min="10759" max="10759" width="17.140625" style="310" customWidth="1"/>
    <col min="10760" max="10760" width="21.85546875" style="310" bestFit="1" customWidth="1"/>
    <col min="10761" max="10761" width="17.140625" style="310" bestFit="1" customWidth="1"/>
    <col min="10762" max="10762" width="18.140625" style="310" bestFit="1" customWidth="1"/>
    <col min="10763" max="10763" width="26.42578125" style="310" customWidth="1"/>
    <col min="10764" max="11008" width="9.140625" style="310"/>
    <col min="11009" max="11009" width="8.7109375" style="310" bestFit="1" customWidth="1"/>
    <col min="11010" max="11010" width="13.28515625" style="310" customWidth="1"/>
    <col min="11011" max="11011" width="16.140625" style="310" bestFit="1" customWidth="1"/>
    <col min="11012" max="11012" width="23.5703125" style="310" customWidth="1"/>
    <col min="11013" max="11013" width="17.28515625" style="310" customWidth="1"/>
    <col min="11014" max="11014" width="20.5703125" style="310" bestFit="1" customWidth="1"/>
    <col min="11015" max="11015" width="17.140625" style="310" customWidth="1"/>
    <col min="11016" max="11016" width="21.85546875" style="310" bestFit="1" customWidth="1"/>
    <col min="11017" max="11017" width="17.140625" style="310" bestFit="1" customWidth="1"/>
    <col min="11018" max="11018" width="18.140625" style="310" bestFit="1" customWidth="1"/>
    <col min="11019" max="11019" width="26.42578125" style="310" customWidth="1"/>
    <col min="11020" max="11264" width="9.140625" style="310"/>
    <col min="11265" max="11265" width="8.7109375" style="310" bestFit="1" customWidth="1"/>
    <col min="11266" max="11266" width="13.28515625" style="310" customWidth="1"/>
    <col min="11267" max="11267" width="16.140625" style="310" bestFit="1" customWidth="1"/>
    <col min="11268" max="11268" width="23.5703125" style="310" customWidth="1"/>
    <col min="11269" max="11269" width="17.28515625" style="310" customWidth="1"/>
    <col min="11270" max="11270" width="20.5703125" style="310" bestFit="1" customWidth="1"/>
    <col min="11271" max="11271" width="17.140625" style="310" customWidth="1"/>
    <col min="11272" max="11272" width="21.85546875" style="310" bestFit="1" customWidth="1"/>
    <col min="11273" max="11273" width="17.140625" style="310" bestFit="1" customWidth="1"/>
    <col min="11274" max="11274" width="18.140625" style="310" bestFit="1" customWidth="1"/>
    <col min="11275" max="11275" width="26.42578125" style="310" customWidth="1"/>
    <col min="11276" max="11520" width="9.140625" style="310"/>
    <col min="11521" max="11521" width="8.7109375" style="310" bestFit="1" customWidth="1"/>
    <col min="11522" max="11522" width="13.28515625" style="310" customWidth="1"/>
    <col min="11523" max="11523" width="16.140625" style="310" bestFit="1" customWidth="1"/>
    <col min="11524" max="11524" width="23.5703125" style="310" customWidth="1"/>
    <col min="11525" max="11525" width="17.28515625" style="310" customWidth="1"/>
    <col min="11526" max="11526" width="20.5703125" style="310" bestFit="1" customWidth="1"/>
    <col min="11527" max="11527" width="17.140625" style="310" customWidth="1"/>
    <col min="11528" max="11528" width="21.85546875" style="310" bestFit="1" customWidth="1"/>
    <col min="11529" max="11529" width="17.140625" style="310" bestFit="1" customWidth="1"/>
    <col min="11530" max="11530" width="18.140625" style="310" bestFit="1" customWidth="1"/>
    <col min="11531" max="11531" width="26.42578125" style="310" customWidth="1"/>
    <col min="11532" max="11776" width="9.140625" style="310"/>
    <col min="11777" max="11777" width="8.7109375" style="310" bestFit="1" customWidth="1"/>
    <col min="11778" max="11778" width="13.28515625" style="310" customWidth="1"/>
    <col min="11779" max="11779" width="16.140625" style="310" bestFit="1" customWidth="1"/>
    <col min="11780" max="11780" width="23.5703125" style="310" customWidth="1"/>
    <col min="11781" max="11781" width="17.28515625" style="310" customWidth="1"/>
    <col min="11782" max="11782" width="20.5703125" style="310" bestFit="1" customWidth="1"/>
    <col min="11783" max="11783" width="17.140625" style="310" customWidth="1"/>
    <col min="11784" max="11784" width="21.85546875" style="310" bestFit="1" customWidth="1"/>
    <col min="11785" max="11785" width="17.140625" style="310" bestFit="1" customWidth="1"/>
    <col min="11786" max="11786" width="18.140625" style="310" bestFit="1" customWidth="1"/>
    <col min="11787" max="11787" width="26.42578125" style="310" customWidth="1"/>
    <col min="11788" max="12032" width="9.140625" style="310"/>
    <col min="12033" max="12033" width="8.7109375" style="310" bestFit="1" customWidth="1"/>
    <col min="12034" max="12034" width="13.28515625" style="310" customWidth="1"/>
    <col min="12035" max="12035" width="16.140625" style="310" bestFit="1" customWidth="1"/>
    <col min="12036" max="12036" width="23.5703125" style="310" customWidth="1"/>
    <col min="12037" max="12037" width="17.28515625" style="310" customWidth="1"/>
    <col min="12038" max="12038" width="20.5703125" style="310" bestFit="1" customWidth="1"/>
    <col min="12039" max="12039" width="17.140625" style="310" customWidth="1"/>
    <col min="12040" max="12040" width="21.85546875" style="310" bestFit="1" customWidth="1"/>
    <col min="12041" max="12041" width="17.140625" style="310" bestFit="1" customWidth="1"/>
    <col min="12042" max="12042" width="18.140625" style="310" bestFit="1" customWidth="1"/>
    <col min="12043" max="12043" width="26.42578125" style="310" customWidth="1"/>
    <col min="12044" max="12288" width="9.140625" style="310"/>
    <col min="12289" max="12289" width="8.7109375" style="310" bestFit="1" customWidth="1"/>
    <col min="12290" max="12290" width="13.28515625" style="310" customWidth="1"/>
    <col min="12291" max="12291" width="16.140625" style="310" bestFit="1" customWidth="1"/>
    <col min="12292" max="12292" width="23.5703125" style="310" customWidth="1"/>
    <col min="12293" max="12293" width="17.28515625" style="310" customWidth="1"/>
    <col min="12294" max="12294" width="20.5703125" style="310" bestFit="1" customWidth="1"/>
    <col min="12295" max="12295" width="17.140625" style="310" customWidth="1"/>
    <col min="12296" max="12296" width="21.85546875" style="310" bestFit="1" customWidth="1"/>
    <col min="12297" max="12297" width="17.140625" style="310" bestFit="1" customWidth="1"/>
    <col min="12298" max="12298" width="18.140625" style="310" bestFit="1" customWidth="1"/>
    <col min="12299" max="12299" width="26.42578125" style="310" customWidth="1"/>
    <col min="12300" max="12544" width="9.140625" style="310"/>
    <col min="12545" max="12545" width="8.7109375" style="310" bestFit="1" customWidth="1"/>
    <col min="12546" max="12546" width="13.28515625" style="310" customWidth="1"/>
    <col min="12547" max="12547" width="16.140625" style="310" bestFit="1" customWidth="1"/>
    <col min="12548" max="12548" width="23.5703125" style="310" customWidth="1"/>
    <col min="12549" max="12549" width="17.28515625" style="310" customWidth="1"/>
    <col min="12550" max="12550" width="20.5703125" style="310" bestFit="1" customWidth="1"/>
    <col min="12551" max="12551" width="17.140625" style="310" customWidth="1"/>
    <col min="12552" max="12552" width="21.85546875" style="310" bestFit="1" customWidth="1"/>
    <col min="12553" max="12553" width="17.140625" style="310" bestFit="1" customWidth="1"/>
    <col min="12554" max="12554" width="18.140625" style="310" bestFit="1" customWidth="1"/>
    <col min="12555" max="12555" width="26.42578125" style="310" customWidth="1"/>
    <col min="12556" max="12800" width="9.140625" style="310"/>
    <col min="12801" max="12801" width="8.7109375" style="310" bestFit="1" customWidth="1"/>
    <col min="12802" max="12802" width="13.28515625" style="310" customWidth="1"/>
    <col min="12803" max="12803" width="16.140625" style="310" bestFit="1" customWidth="1"/>
    <col min="12804" max="12804" width="23.5703125" style="310" customWidth="1"/>
    <col min="12805" max="12805" width="17.28515625" style="310" customWidth="1"/>
    <col min="12806" max="12806" width="20.5703125" style="310" bestFit="1" customWidth="1"/>
    <col min="12807" max="12807" width="17.140625" style="310" customWidth="1"/>
    <col min="12808" max="12808" width="21.85546875" style="310" bestFit="1" customWidth="1"/>
    <col min="12809" max="12809" width="17.140625" style="310" bestFit="1" customWidth="1"/>
    <col min="12810" max="12810" width="18.140625" style="310" bestFit="1" customWidth="1"/>
    <col min="12811" max="12811" width="26.42578125" style="310" customWidth="1"/>
    <col min="12812" max="13056" width="9.140625" style="310"/>
    <col min="13057" max="13057" width="8.7109375" style="310" bestFit="1" customWidth="1"/>
    <col min="13058" max="13058" width="13.28515625" style="310" customWidth="1"/>
    <col min="13059" max="13059" width="16.140625" style="310" bestFit="1" customWidth="1"/>
    <col min="13060" max="13060" width="23.5703125" style="310" customWidth="1"/>
    <col min="13061" max="13061" width="17.28515625" style="310" customWidth="1"/>
    <col min="13062" max="13062" width="20.5703125" style="310" bestFit="1" customWidth="1"/>
    <col min="13063" max="13063" width="17.140625" style="310" customWidth="1"/>
    <col min="13064" max="13064" width="21.85546875" style="310" bestFit="1" customWidth="1"/>
    <col min="13065" max="13065" width="17.140625" style="310" bestFit="1" customWidth="1"/>
    <col min="13066" max="13066" width="18.140625" style="310" bestFit="1" customWidth="1"/>
    <col min="13067" max="13067" width="26.42578125" style="310" customWidth="1"/>
    <col min="13068" max="13312" width="9.140625" style="310"/>
    <col min="13313" max="13313" width="8.7109375" style="310" bestFit="1" customWidth="1"/>
    <col min="13314" max="13314" width="13.28515625" style="310" customWidth="1"/>
    <col min="13315" max="13315" width="16.140625" style="310" bestFit="1" customWidth="1"/>
    <col min="13316" max="13316" width="23.5703125" style="310" customWidth="1"/>
    <col min="13317" max="13317" width="17.28515625" style="310" customWidth="1"/>
    <col min="13318" max="13318" width="20.5703125" style="310" bestFit="1" customWidth="1"/>
    <col min="13319" max="13319" width="17.140625" style="310" customWidth="1"/>
    <col min="13320" max="13320" width="21.85546875" style="310" bestFit="1" customWidth="1"/>
    <col min="13321" max="13321" width="17.140625" style="310" bestFit="1" customWidth="1"/>
    <col min="13322" max="13322" width="18.140625" style="310" bestFit="1" customWidth="1"/>
    <col min="13323" max="13323" width="26.42578125" style="310" customWidth="1"/>
    <col min="13324" max="13568" width="9.140625" style="310"/>
    <col min="13569" max="13569" width="8.7109375" style="310" bestFit="1" customWidth="1"/>
    <col min="13570" max="13570" width="13.28515625" style="310" customWidth="1"/>
    <col min="13571" max="13571" width="16.140625" style="310" bestFit="1" customWidth="1"/>
    <col min="13572" max="13572" width="23.5703125" style="310" customWidth="1"/>
    <col min="13573" max="13573" width="17.28515625" style="310" customWidth="1"/>
    <col min="13574" max="13574" width="20.5703125" style="310" bestFit="1" customWidth="1"/>
    <col min="13575" max="13575" width="17.140625" style="310" customWidth="1"/>
    <col min="13576" max="13576" width="21.85546875" style="310" bestFit="1" customWidth="1"/>
    <col min="13577" max="13577" width="17.140625" style="310" bestFit="1" customWidth="1"/>
    <col min="13578" max="13578" width="18.140625" style="310" bestFit="1" customWidth="1"/>
    <col min="13579" max="13579" width="26.42578125" style="310" customWidth="1"/>
    <col min="13580" max="13824" width="9.140625" style="310"/>
    <col min="13825" max="13825" width="8.7109375" style="310" bestFit="1" customWidth="1"/>
    <col min="13826" max="13826" width="13.28515625" style="310" customWidth="1"/>
    <col min="13827" max="13827" width="16.140625" style="310" bestFit="1" customWidth="1"/>
    <col min="13828" max="13828" width="23.5703125" style="310" customWidth="1"/>
    <col min="13829" max="13829" width="17.28515625" style="310" customWidth="1"/>
    <col min="13830" max="13830" width="20.5703125" style="310" bestFit="1" customWidth="1"/>
    <col min="13831" max="13831" width="17.140625" style="310" customWidth="1"/>
    <col min="13832" max="13832" width="21.85546875" style="310" bestFit="1" customWidth="1"/>
    <col min="13833" max="13833" width="17.140625" style="310" bestFit="1" customWidth="1"/>
    <col min="13834" max="13834" width="18.140625" style="310" bestFit="1" customWidth="1"/>
    <col min="13835" max="13835" width="26.42578125" style="310" customWidth="1"/>
    <col min="13836" max="14080" width="9.140625" style="310"/>
    <col min="14081" max="14081" width="8.7109375" style="310" bestFit="1" customWidth="1"/>
    <col min="14082" max="14082" width="13.28515625" style="310" customWidth="1"/>
    <col min="14083" max="14083" width="16.140625" style="310" bestFit="1" customWidth="1"/>
    <col min="14084" max="14084" width="23.5703125" style="310" customWidth="1"/>
    <col min="14085" max="14085" width="17.28515625" style="310" customWidth="1"/>
    <col min="14086" max="14086" width="20.5703125" style="310" bestFit="1" customWidth="1"/>
    <col min="14087" max="14087" width="17.140625" style="310" customWidth="1"/>
    <col min="14088" max="14088" width="21.85546875" style="310" bestFit="1" customWidth="1"/>
    <col min="14089" max="14089" width="17.140625" style="310" bestFit="1" customWidth="1"/>
    <col min="14090" max="14090" width="18.140625" style="310" bestFit="1" customWidth="1"/>
    <col min="14091" max="14091" width="26.42578125" style="310" customWidth="1"/>
    <col min="14092" max="14336" width="9.140625" style="310"/>
    <col min="14337" max="14337" width="8.7109375" style="310" bestFit="1" customWidth="1"/>
    <col min="14338" max="14338" width="13.28515625" style="310" customWidth="1"/>
    <col min="14339" max="14339" width="16.140625" style="310" bestFit="1" customWidth="1"/>
    <col min="14340" max="14340" width="23.5703125" style="310" customWidth="1"/>
    <col min="14341" max="14341" width="17.28515625" style="310" customWidth="1"/>
    <col min="14342" max="14342" width="20.5703125" style="310" bestFit="1" customWidth="1"/>
    <col min="14343" max="14343" width="17.140625" style="310" customWidth="1"/>
    <col min="14344" max="14344" width="21.85546875" style="310" bestFit="1" customWidth="1"/>
    <col min="14345" max="14345" width="17.140625" style="310" bestFit="1" customWidth="1"/>
    <col min="14346" max="14346" width="18.140625" style="310" bestFit="1" customWidth="1"/>
    <col min="14347" max="14347" width="26.42578125" style="310" customWidth="1"/>
    <col min="14348" max="14592" width="9.140625" style="310"/>
    <col min="14593" max="14593" width="8.7109375" style="310" bestFit="1" customWidth="1"/>
    <col min="14594" max="14594" width="13.28515625" style="310" customWidth="1"/>
    <col min="14595" max="14595" width="16.140625" style="310" bestFit="1" customWidth="1"/>
    <col min="14596" max="14596" width="23.5703125" style="310" customWidth="1"/>
    <col min="14597" max="14597" width="17.28515625" style="310" customWidth="1"/>
    <col min="14598" max="14598" width="20.5703125" style="310" bestFit="1" customWidth="1"/>
    <col min="14599" max="14599" width="17.140625" style="310" customWidth="1"/>
    <col min="14600" max="14600" width="21.85546875" style="310" bestFit="1" customWidth="1"/>
    <col min="14601" max="14601" width="17.140625" style="310" bestFit="1" customWidth="1"/>
    <col min="14602" max="14602" width="18.140625" style="310" bestFit="1" customWidth="1"/>
    <col min="14603" max="14603" width="26.42578125" style="310" customWidth="1"/>
    <col min="14604" max="14848" width="9.140625" style="310"/>
    <col min="14849" max="14849" width="8.7109375" style="310" bestFit="1" customWidth="1"/>
    <col min="14850" max="14850" width="13.28515625" style="310" customWidth="1"/>
    <col min="14851" max="14851" width="16.140625" style="310" bestFit="1" customWidth="1"/>
    <col min="14852" max="14852" width="23.5703125" style="310" customWidth="1"/>
    <col min="14853" max="14853" width="17.28515625" style="310" customWidth="1"/>
    <col min="14854" max="14854" width="20.5703125" style="310" bestFit="1" customWidth="1"/>
    <col min="14855" max="14855" width="17.140625" style="310" customWidth="1"/>
    <col min="14856" max="14856" width="21.85546875" style="310" bestFit="1" customWidth="1"/>
    <col min="14857" max="14857" width="17.140625" style="310" bestFit="1" customWidth="1"/>
    <col min="14858" max="14858" width="18.140625" style="310" bestFit="1" customWidth="1"/>
    <col min="14859" max="14859" width="26.42578125" style="310" customWidth="1"/>
    <col min="14860" max="15104" width="9.140625" style="310"/>
    <col min="15105" max="15105" width="8.7109375" style="310" bestFit="1" customWidth="1"/>
    <col min="15106" max="15106" width="13.28515625" style="310" customWidth="1"/>
    <col min="15107" max="15107" width="16.140625" style="310" bestFit="1" customWidth="1"/>
    <col min="15108" max="15108" width="23.5703125" style="310" customWidth="1"/>
    <col min="15109" max="15109" width="17.28515625" style="310" customWidth="1"/>
    <col min="15110" max="15110" width="20.5703125" style="310" bestFit="1" customWidth="1"/>
    <col min="15111" max="15111" width="17.140625" style="310" customWidth="1"/>
    <col min="15112" max="15112" width="21.85546875" style="310" bestFit="1" customWidth="1"/>
    <col min="15113" max="15113" width="17.140625" style="310" bestFit="1" customWidth="1"/>
    <col min="15114" max="15114" width="18.140625" style="310" bestFit="1" customWidth="1"/>
    <col min="15115" max="15115" width="26.42578125" style="310" customWidth="1"/>
    <col min="15116" max="15360" width="9.140625" style="310"/>
    <col min="15361" max="15361" width="8.7109375" style="310" bestFit="1" customWidth="1"/>
    <col min="15362" max="15362" width="13.28515625" style="310" customWidth="1"/>
    <col min="15363" max="15363" width="16.140625" style="310" bestFit="1" customWidth="1"/>
    <col min="15364" max="15364" width="23.5703125" style="310" customWidth="1"/>
    <col min="15365" max="15365" width="17.28515625" style="310" customWidth="1"/>
    <col min="15366" max="15366" width="20.5703125" style="310" bestFit="1" customWidth="1"/>
    <col min="15367" max="15367" width="17.140625" style="310" customWidth="1"/>
    <col min="15368" max="15368" width="21.85546875" style="310" bestFit="1" customWidth="1"/>
    <col min="15369" max="15369" width="17.140625" style="310" bestFit="1" customWidth="1"/>
    <col min="15370" max="15370" width="18.140625" style="310" bestFit="1" customWidth="1"/>
    <col min="15371" max="15371" width="26.42578125" style="310" customWidth="1"/>
    <col min="15372" max="15616" width="9.140625" style="310"/>
    <col min="15617" max="15617" width="8.7109375" style="310" bestFit="1" customWidth="1"/>
    <col min="15618" max="15618" width="13.28515625" style="310" customWidth="1"/>
    <col min="15619" max="15619" width="16.140625" style="310" bestFit="1" customWidth="1"/>
    <col min="15620" max="15620" width="23.5703125" style="310" customWidth="1"/>
    <col min="15621" max="15621" width="17.28515625" style="310" customWidth="1"/>
    <col min="15622" max="15622" width="20.5703125" style="310" bestFit="1" customWidth="1"/>
    <col min="15623" max="15623" width="17.140625" style="310" customWidth="1"/>
    <col min="15624" max="15624" width="21.85546875" style="310" bestFit="1" customWidth="1"/>
    <col min="15625" max="15625" width="17.140625" style="310" bestFit="1" customWidth="1"/>
    <col min="15626" max="15626" width="18.140625" style="310" bestFit="1" customWidth="1"/>
    <col min="15627" max="15627" width="26.42578125" style="310" customWidth="1"/>
    <col min="15628" max="15872" width="9.140625" style="310"/>
    <col min="15873" max="15873" width="8.7109375" style="310" bestFit="1" customWidth="1"/>
    <col min="15874" max="15874" width="13.28515625" style="310" customWidth="1"/>
    <col min="15875" max="15875" width="16.140625" style="310" bestFit="1" customWidth="1"/>
    <col min="15876" max="15876" width="23.5703125" style="310" customWidth="1"/>
    <col min="15877" max="15877" width="17.28515625" style="310" customWidth="1"/>
    <col min="15878" max="15878" width="20.5703125" style="310" bestFit="1" customWidth="1"/>
    <col min="15879" max="15879" width="17.140625" style="310" customWidth="1"/>
    <col min="15880" max="15880" width="21.85546875" style="310" bestFit="1" customWidth="1"/>
    <col min="15881" max="15881" width="17.140625" style="310" bestFit="1" customWidth="1"/>
    <col min="15882" max="15882" width="18.140625" style="310" bestFit="1" customWidth="1"/>
    <col min="15883" max="15883" width="26.42578125" style="310" customWidth="1"/>
    <col min="15884" max="16128" width="9.140625" style="310"/>
    <col min="16129" max="16129" width="8.7109375" style="310" bestFit="1" customWidth="1"/>
    <col min="16130" max="16130" width="13.28515625" style="310" customWidth="1"/>
    <col min="16131" max="16131" width="16.140625" style="310" bestFit="1" customWidth="1"/>
    <col min="16132" max="16132" width="23.5703125" style="310" customWidth="1"/>
    <col min="16133" max="16133" width="17.28515625" style="310" customWidth="1"/>
    <col min="16134" max="16134" width="20.5703125" style="310" bestFit="1" customWidth="1"/>
    <col min="16135" max="16135" width="17.140625" style="310" customWidth="1"/>
    <col min="16136" max="16136" width="21.85546875" style="310" bestFit="1" customWidth="1"/>
    <col min="16137" max="16137" width="17.140625" style="310" bestFit="1" customWidth="1"/>
    <col min="16138" max="16138" width="18.140625" style="310" bestFit="1" customWidth="1"/>
    <col min="16139" max="16139" width="26.42578125" style="310" customWidth="1"/>
    <col min="16140" max="16384" width="9.140625" style="310"/>
  </cols>
  <sheetData>
    <row r="1" spans="13:13" s="346" customFormat="1" x14ac:dyDescent="0.2">
      <c r="M1" s="347"/>
    </row>
    <row r="2" spans="13:13" s="346" customFormat="1" x14ac:dyDescent="0.2">
      <c r="M2" s="347"/>
    </row>
    <row r="3" spans="13:13" s="346" customFormat="1" x14ac:dyDescent="0.2">
      <c r="M3" s="347"/>
    </row>
    <row r="4" spans="13:13" s="346" customFormat="1" x14ac:dyDescent="0.2">
      <c r="M4" s="347"/>
    </row>
    <row r="5" spans="13:13" s="346" customFormat="1" x14ac:dyDescent="0.2">
      <c r="M5" s="347"/>
    </row>
    <row r="6" spans="13:13" s="346" customFormat="1" x14ac:dyDescent="0.2">
      <c r="M6" s="347"/>
    </row>
    <row r="7" spans="13:13" s="346" customFormat="1" x14ac:dyDescent="0.2">
      <c r="M7" s="347"/>
    </row>
    <row r="8" spans="13:13" s="346" customFormat="1" x14ac:dyDescent="0.2">
      <c r="M8" s="347"/>
    </row>
    <row r="9" spans="13:13" s="346" customFormat="1" x14ac:dyDescent="0.2">
      <c r="M9" s="347"/>
    </row>
    <row r="10" spans="13:13" s="346" customFormat="1" x14ac:dyDescent="0.2">
      <c r="M10" s="347"/>
    </row>
    <row r="11" spans="13:13" s="346" customFormat="1" x14ac:dyDescent="0.2">
      <c r="M11" s="347"/>
    </row>
    <row r="12" spans="13:13" s="346" customFormat="1" x14ac:dyDescent="0.2">
      <c r="M12" s="347"/>
    </row>
    <row r="13" spans="13:13" s="346" customFormat="1" x14ac:dyDescent="0.2">
      <c r="M13" s="347"/>
    </row>
    <row r="14" spans="13:13" s="346" customFormat="1" x14ac:dyDescent="0.2">
      <c r="M14" s="347"/>
    </row>
    <row r="15" spans="13:13" s="346" customFormat="1" x14ac:dyDescent="0.2">
      <c r="M15" s="347"/>
    </row>
    <row r="16" spans="13:13" s="346" customFormat="1" x14ac:dyDescent="0.2">
      <c r="M16" s="347"/>
    </row>
    <row r="17" spans="13:13" s="346" customFormat="1" x14ac:dyDescent="0.2">
      <c r="M17" s="347"/>
    </row>
    <row r="18" spans="13:13" s="346" customFormat="1" x14ac:dyDescent="0.2">
      <c r="M18" s="347"/>
    </row>
    <row r="19" spans="13:13" s="346" customFormat="1" x14ac:dyDescent="0.2">
      <c r="M19" s="347"/>
    </row>
    <row r="20" spans="13:13" s="346" customFormat="1" x14ac:dyDescent="0.2">
      <c r="M20" s="347"/>
    </row>
    <row r="21" spans="13:13" s="346" customFormat="1" x14ac:dyDescent="0.2">
      <c r="M21" s="347"/>
    </row>
    <row r="22" spans="13:13" s="346" customFormat="1" x14ac:dyDescent="0.2">
      <c r="M22" s="347"/>
    </row>
    <row r="23" spans="13:13" s="346" customFormat="1" x14ac:dyDescent="0.2">
      <c r="M23" s="347"/>
    </row>
    <row r="24" spans="13:13" s="346" customFormat="1" x14ac:dyDescent="0.2">
      <c r="M24" s="347"/>
    </row>
    <row r="25" spans="13:13" s="346" customFormat="1" x14ac:dyDescent="0.2">
      <c r="M25" s="347"/>
    </row>
    <row r="26" spans="13:13" s="346" customFormat="1" x14ac:dyDescent="0.2">
      <c r="M26" s="347"/>
    </row>
    <row r="27" spans="13:13" s="346" customFormat="1" x14ac:dyDescent="0.2">
      <c r="M27" s="347"/>
    </row>
    <row r="28" spans="13:13" s="346" customFormat="1" x14ac:dyDescent="0.2">
      <c r="M28" s="347"/>
    </row>
    <row r="29" spans="13:13" s="346" customFormat="1" x14ac:dyDescent="0.2">
      <c r="M29" s="347"/>
    </row>
    <row r="30" spans="13:13" s="346" customFormat="1" x14ac:dyDescent="0.2">
      <c r="M30" s="347"/>
    </row>
    <row r="31" spans="13:13" s="346" customFormat="1" x14ac:dyDescent="0.2">
      <c r="M31" s="347"/>
    </row>
    <row r="32" spans="13:13" s="346" customFormat="1" x14ac:dyDescent="0.2">
      <c r="M32" s="347"/>
    </row>
    <row r="33" spans="1:19" s="346" customFormat="1" x14ac:dyDescent="0.2">
      <c r="M33" s="347"/>
    </row>
    <row r="34" spans="1:19" s="346" customFormat="1" ht="15.75" customHeight="1" x14ac:dyDescent="0.2">
      <c r="B34" s="346" t="s">
        <v>699</v>
      </c>
    </row>
    <row r="35" spans="1:19" s="346" customFormat="1" ht="24.75" customHeight="1" x14ac:dyDescent="0.25">
      <c r="A35" s="351" t="str">
        <f>"VIN = "&amp;Vin&amp;" V, VOUT = "&amp; Vout &amp;" V, IOUT = " &amp;Iout &amp; " A,  Fsw = " &amp; Fsw/1000 &amp;" kHz, Current Limit = "&amp;ROUNDUP(DC_Current_Limit_Setpoint,0)&amp;" A"</f>
        <v>VIN = 12.6 V, VOUT = 5 V, IOUT = 20 A,  Fsw = 256 kHz, Current Limit = 20 A</v>
      </c>
      <c r="Q35" s="457"/>
    </row>
    <row r="36" spans="1:19" ht="24.75" customHeight="1" thickBot="1" x14ac:dyDescent="0.25">
      <c r="A36" s="312" t="s">
        <v>709</v>
      </c>
      <c r="Q36" s="458"/>
    </row>
    <row r="37" spans="1:19" ht="18" customHeight="1" x14ac:dyDescent="0.2">
      <c r="A37" s="443" t="s">
        <v>510</v>
      </c>
      <c r="B37" s="444" t="s">
        <v>509</v>
      </c>
      <c r="C37" s="444" t="s">
        <v>8</v>
      </c>
      <c r="D37" s="518" t="s">
        <v>188</v>
      </c>
      <c r="E37" s="519"/>
      <c r="F37" s="519"/>
      <c r="G37" s="520"/>
      <c r="H37" s="444" t="s">
        <v>496</v>
      </c>
      <c r="I37" s="444" t="s">
        <v>303</v>
      </c>
      <c r="J37" s="444" t="s">
        <v>497</v>
      </c>
      <c r="K37" s="432" t="s">
        <v>674</v>
      </c>
      <c r="L37" s="433" t="s">
        <v>675</v>
      </c>
      <c r="M37" s="310"/>
      <c r="P37" s="465"/>
      <c r="Q37" s="472"/>
      <c r="R37" s="465"/>
      <c r="S37" s="465"/>
    </row>
    <row r="38" spans="1:19" s="317" customFormat="1" ht="17.100000000000001" customHeight="1" x14ac:dyDescent="0.2">
      <c r="A38" s="314">
        <v>1</v>
      </c>
      <c r="B38" s="315" t="s">
        <v>608</v>
      </c>
      <c r="C38" s="329">
        <v>0.1</v>
      </c>
      <c r="D38" s="539">
        <f t="shared" ref="D38:D47" si="0">C38</f>
        <v>0.1</v>
      </c>
      <c r="E38" s="540"/>
      <c r="F38" s="540"/>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
      <c r="A39" s="313">
        <v>1</v>
      </c>
      <c r="B39" s="332" t="s">
        <v>502</v>
      </c>
      <c r="C39" s="333">
        <f>'Design Regulator'!D75</f>
        <v>18000</v>
      </c>
      <c r="D39" s="541">
        <f t="shared" si="0"/>
        <v>18000</v>
      </c>
      <c r="E39" s="542"/>
      <c r="F39" s="542"/>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
      <c r="A40" s="313">
        <v>1</v>
      </c>
      <c r="B40" s="332" t="s">
        <v>503</v>
      </c>
      <c r="C40" s="333">
        <f>'Design Regulator'!D76</f>
        <v>1000</v>
      </c>
      <c r="D40" s="543">
        <f t="shared" si="0"/>
        <v>1000</v>
      </c>
      <c r="E40" s="544"/>
      <c r="F40" s="544"/>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
      <c r="A41" s="313">
        <v>1</v>
      </c>
      <c r="B41" s="332" t="s">
        <v>504</v>
      </c>
      <c r="C41" s="333">
        <f>'Design Regulator'!D78</f>
        <v>1800</v>
      </c>
      <c r="D41" s="543">
        <f t="shared" si="0"/>
        <v>1800</v>
      </c>
      <c r="E41" s="544"/>
      <c r="F41" s="544"/>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
      <c r="A42" s="324">
        <v>1</v>
      </c>
      <c r="B42" s="325" t="s">
        <v>717</v>
      </c>
      <c r="C42" s="340" t="str">
        <f>'Variable Management'!B270</f>
        <v>10pF</v>
      </c>
      <c r="D42" s="545" t="str">
        <f>"Capacitor, Ceramic, "&amp;'Variable Management'!B270&amp;", 100V, X7R, 20%"</f>
        <v>Capacitor, Ceramic, 10pF, 100V, X7R, 20%</v>
      </c>
      <c r="E42" s="546"/>
      <c r="F42" s="546"/>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
      <c r="A43" s="313">
        <f>ROUNDUP('Design Regulator'!E42/10,0)</f>
        <v>15</v>
      </c>
      <c r="B43" s="332" t="s">
        <v>505</v>
      </c>
      <c r="C43" s="339" t="str">
        <f>'Variable Management'!B249</f>
        <v>4.7µF</v>
      </c>
      <c r="D43" s="549"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50"/>
      <c r="F43" s="550"/>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120</v>
      </c>
      <c r="P43" s="456"/>
      <c r="Q43" s="459">
        <v>5</v>
      </c>
      <c r="R43" s="456"/>
      <c r="S43" s="456"/>
    </row>
    <row r="44" spans="1:19" s="317" customFormat="1" ht="17.100000000000001" customHeight="1" x14ac:dyDescent="0.2">
      <c r="A44" s="313">
        <f>'Variable Management'!D242</f>
        <v>3</v>
      </c>
      <c r="B44" s="332" t="s">
        <v>506</v>
      </c>
      <c r="C44" s="339" t="str">
        <f>'Variable Management'!F243</f>
        <v>47µF</v>
      </c>
      <c r="D44" s="549"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50"/>
      <c r="F44" s="550"/>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
      <c r="A45" s="324">
        <v>1</v>
      </c>
      <c r="B45" s="325" t="s">
        <v>507</v>
      </c>
      <c r="C45" s="450">
        <f>'Design Regulator'!E50</f>
        <v>47</v>
      </c>
      <c r="D45" s="556">
        <f t="shared" ref="D45" si="1">C45</f>
        <v>47</v>
      </c>
      <c r="E45" s="557"/>
      <c r="F45" s="557"/>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
      <c r="A46" s="324">
        <v>1</v>
      </c>
      <c r="B46" s="325" t="s">
        <v>607</v>
      </c>
      <c r="C46" s="338">
        <v>2.2000000000000002</v>
      </c>
      <c r="D46" s="547">
        <f t="shared" si="0"/>
        <v>2.2000000000000002</v>
      </c>
      <c r="E46" s="548"/>
      <c r="F46" s="548"/>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
      <c r="A47" s="324">
        <v>1</v>
      </c>
      <c r="B47" s="325" t="s">
        <v>508</v>
      </c>
      <c r="C47" s="338">
        <v>0.1</v>
      </c>
      <c r="D47" s="558">
        <f t="shared" si="0"/>
        <v>0.1</v>
      </c>
      <c r="E47" s="559"/>
      <c r="F47" s="559"/>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
      <c r="A48" s="313">
        <v>1</v>
      </c>
      <c r="B48" s="332" t="s">
        <v>605</v>
      </c>
      <c r="C48" s="341">
        <f>'Design Regulator'!E17</f>
        <v>1.8</v>
      </c>
      <c r="D48" s="549" t="str">
        <f>"Inductor, "&amp;Lout2*1000000&amp;"µH, "&amp;Rdcr*1000&amp;"mΩ, &gt;"&amp;ROUNDUP(Ilsat,0)&amp;"A"</f>
        <v>Inductor, 1.8µH, 5mΩ, &gt;28A</v>
      </c>
      <c r="E48" s="550"/>
      <c r="F48" s="550"/>
      <c r="G48" s="555"/>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
      <c r="A49" s="324">
        <f>R49</f>
        <v>1</v>
      </c>
      <c r="B49" s="325" t="s">
        <v>512</v>
      </c>
      <c r="C49" s="340" t="s">
        <v>499</v>
      </c>
      <c r="D49" s="530">
        <f>'Design Regulator'!E85</f>
        <v>6</v>
      </c>
      <c r="E49" s="531"/>
      <c r="F49" s="531"/>
      <c r="G49" s="532"/>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
      <c r="A50" s="324">
        <f>R50</f>
        <v>1</v>
      </c>
      <c r="B50" s="325" t="s">
        <v>513</v>
      </c>
      <c r="C50" s="340" t="s">
        <v>499</v>
      </c>
      <c r="D50" s="530">
        <f>'Design Regulator'!E97</f>
        <v>6</v>
      </c>
      <c r="E50" s="531"/>
      <c r="F50" s="531"/>
      <c r="G50" s="532"/>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
      <c r="A52" s="318">
        <v>1</v>
      </c>
      <c r="B52" s="319" t="s">
        <v>514</v>
      </c>
      <c r="C52" s="320">
        <f>'Design Regulator'!D74</f>
        <v>1</v>
      </c>
      <c r="D52" s="527">
        <f t="shared" ref="D52:D62" si="2">C52</f>
        <v>1</v>
      </c>
      <c r="E52" s="528"/>
      <c r="F52" s="528"/>
      <c r="G52" s="529"/>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
      <c r="A53" s="318">
        <v>1</v>
      </c>
      <c r="B53" s="319" t="s">
        <v>515</v>
      </c>
      <c r="C53" s="323">
        <f>'Design Regulator'!D77</f>
        <v>22</v>
      </c>
      <c r="D53" s="551">
        <f t="shared" si="2"/>
        <v>22</v>
      </c>
      <c r="E53" s="552"/>
      <c r="F53" s="552"/>
      <c r="G53" s="553"/>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
      <c r="A54" s="318">
        <v>1</v>
      </c>
      <c r="B54" s="319" t="s">
        <v>609</v>
      </c>
      <c r="C54" s="323">
        <f>'Design Regulator'!E26</f>
        <v>499</v>
      </c>
      <c r="D54" s="551">
        <f t="shared" si="2"/>
        <v>499</v>
      </c>
      <c r="E54" s="552"/>
      <c r="F54" s="552"/>
      <c r="G54" s="553"/>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
      <c r="A55" s="318">
        <v>1</v>
      </c>
      <c r="B55" s="319" t="s">
        <v>610</v>
      </c>
      <c r="C55" s="320">
        <f>'Design Regulator'!E13</f>
        <v>39.200000000000003</v>
      </c>
      <c r="D55" s="527">
        <f t="shared" si="2"/>
        <v>39.200000000000003</v>
      </c>
      <c r="E55" s="528"/>
      <c r="F55" s="528"/>
      <c r="G55" s="529"/>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
      <c r="A56" s="318">
        <v>1</v>
      </c>
      <c r="B56" s="319" t="s">
        <v>521</v>
      </c>
      <c r="C56" s="320">
        <f>'Design Regulator'!E63</f>
        <v>10.5</v>
      </c>
      <c r="D56" s="527">
        <f t="shared" si="2"/>
        <v>10.5</v>
      </c>
      <c r="E56" s="528"/>
      <c r="F56" s="528"/>
      <c r="G56" s="529"/>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
      <c r="A57" s="318">
        <v>1</v>
      </c>
      <c r="B57" s="319" t="s">
        <v>522</v>
      </c>
      <c r="C57" s="320">
        <f>'Design Regulator'!E64</f>
        <v>2</v>
      </c>
      <c r="D57" s="527">
        <f t="shared" si="2"/>
        <v>2</v>
      </c>
      <c r="E57" s="528"/>
      <c r="F57" s="528"/>
      <c r="G57" s="529"/>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
      <c r="A58" s="324">
        <v>1</v>
      </c>
      <c r="B58" s="325" t="s">
        <v>520</v>
      </c>
      <c r="C58" s="326">
        <v>20</v>
      </c>
      <c r="D58" s="524">
        <f t="shared" si="2"/>
        <v>20</v>
      </c>
      <c r="E58" s="525"/>
      <c r="F58" s="525"/>
      <c r="G58" s="526"/>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
      <c r="A59" s="324">
        <v>1</v>
      </c>
      <c r="B59" s="325" t="s">
        <v>519</v>
      </c>
      <c r="C59" s="474">
        <f>'Design Regulator'!E24</f>
        <v>6</v>
      </c>
      <c r="D59" s="536">
        <f t="shared" si="2"/>
        <v>6</v>
      </c>
      <c r="E59" s="537"/>
      <c r="F59" s="537"/>
      <c r="G59" s="538"/>
      <c r="H59" s="473">
        <v>1206</v>
      </c>
      <c r="I59" s="328" t="s">
        <v>498</v>
      </c>
      <c r="J59" s="438" t="s">
        <v>498</v>
      </c>
      <c r="K59" s="440" t="s">
        <v>642</v>
      </c>
      <c r="L59" s="434">
        <f>CHOOSE(RDSON_sense, 0,5.1)</f>
        <v>0</v>
      </c>
      <c r="P59" s="456"/>
      <c r="Q59" s="459"/>
      <c r="R59" s="456"/>
      <c r="S59" s="456"/>
    </row>
    <row r="60" spans="1:19" s="317" customFormat="1" ht="17.100000000000001" customHeight="1" x14ac:dyDescent="0.2">
      <c r="A60" s="318">
        <v>1</v>
      </c>
      <c r="B60" s="319" t="s">
        <v>516</v>
      </c>
      <c r="C60" s="320">
        <f>'Design Regulator'!E53</f>
        <v>402</v>
      </c>
      <c r="D60" s="527">
        <f t="shared" si="2"/>
        <v>402</v>
      </c>
      <c r="E60" s="528"/>
      <c r="F60" s="528"/>
      <c r="G60" s="529"/>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
      <c r="A61" s="318">
        <v>1</v>
      </c>
      <c r="B61" s="319" t="s">
        <v>517</v>
      </c>
      <c r="C61" s="320">
        <f>'Design Regulator'!E54</f>
        <v>14.700000000000001</v>
      </c>
      <c r="D61" s="527">
        <f t="shared" si="2"/>
        <v>14.700000000000001</v>
      </c>
      <c r="E61" s="528"/>
      <c r="F61" s="528"/>
      <c r="G61" s="529"/>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
      <c r="A62" s="324">
        <v>1</v>
      </c>
      <c r="B62" s="325" t="s">
        <v>518</v>
      </c>
      <c r="C62" s="340">
        <v>2.2000000000000002</v>
      </c>
      <c r="D62" s="533">
        <f t="shared" si="2"/>
        <v>2.2000000000000002</v>
      </c>
      <c r="E62" s="534"/>
      <c r="F62" s="534"/>
      <c r="G62" s="535"/>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
      <c r="A63" s="343">
        <v>1</v>
      </c>
      <c r="B63" s="344" t="s">
        <v>523</v>
      </c>
      <c r="C63" s="342" t="str">
        <f>CHOOSE(VARIANT, "LM5145", "LM5145-Q1", "LM25145", "LM5146", "LM5146-Q1")</f>
        <v>LM25145</v>
      </c>
      <c r="D63" s="521" t="str">
        <f>CHOOSE(VARIANT, "IC, LM5145, PWM Controller, 6V-75V Input", "IC, LM5145-Q1, PWM Controller, 6V-75V Input", "IC, LM25145, PWM Controller, 6V-42V Input", "IC, LM5146 PWM Controller, 5.5V-100V Input", "IC, LM5146-Q1, PWM Controller, 5.5V-100V Input")</f>
        <v>IC, LM25145, PWM Controller, 6V-42V Input</v>
      </c>
      <c r="E63" s="522"/>
      <c r="F63" s="522"/>
      <c r="G63" s="523"/>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
      <c r="P64" s="465"/>
      <c r="Q64" s="466"/>
      <c r="R64" s="465"/>
      <c r="S64" s="465"/>
    </row>
    <row r="65" spans="1:15" ht="18.75" x14ac:dyDescent="0.25">
      <c r="I65" s="554" t="s">
        <v>676</v>
      </c>
      <c r="J65" s="554"/>
      <c r="K65" s="554"/>
      <c r="L65" s="445">
        <f>SUM(L38:L63)*1.25</f>
        <v>420.93750000000006</v>
      </c>
      <c r="M65" s="446" t="s">
        <v>677</v>
      </c>
      <c r="N65" s="447">
        <f>L65/25.4/25.4</f>
        <v>0.65245442990886005</v>
      </c>
      <c r="O65" s="446" t="s">
        <v>678</v>
      </c>
    </row>
    <row r="66" spans="1:15" x14ac:dyDescent="0.2">
      <c r="A66" s="352" t="s">
        <v>541</v>
      </c>
    </row>
    <row r="67" spans="1:15" x14ac:dyDescent="0.2">
      <c r="A67" s="310" t="s">
        <v>540</v>
      </c>
    </row>
    <row r="68" spans="1:15" x14ac:dyDescent="0.2">
      <c r="A68" s="310" t="s">
        <v>712</v>
      </c>
    </row>
    <row r="455" spans="17:17" x14ac:dyDescent="0.2">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I65:K65"/>
    <mergeCell ref="D54:G54"/>
    <mergeCell ref="D48:G48"/>
    <mergeCell ref="D44:F44"/>
    <mergeCell ref="D45:F45"/>
    <mergeCell ref="D47:F47"/>
    <mergeCell ref="D42:F42"/>
    <mergeCell ref="D46:F46"/>
    <mergeCell ref="D43:F43"/>
    <mergeCell ref="D52:G52"/>
    <mergeCell ref="D53:G53"/>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s>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200025</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200025</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200025</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200025</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200025</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200025</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200025</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200025</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200025</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200025</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200025</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200025</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200025</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200025</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200025</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200025</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200025</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200025</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200025</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200025</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200025</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200025</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200025</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1171575</xdr:colOff>
                    <xdr:row>48</xdr:row>
                    <xdr:rowOff>9525</xdr:rowOff>
                  </from>
                  <to>
                    <xdr:col>6</xdr:col>
                    <xdr:colOff>638175</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1171575</xdr:colOff>
                    <xdr:row>49</xdr:row>
                    <xdr:rowOff>0</xdr:rowOff>
                  </from>
                  <to>
                    <xdr:col>6</xdr:col>
                    <xdr:colOff>638175</xdr:colOff>
                    <xdr:row>49</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85" zoomScaleNormal="85" zoomScaleSheetLayoutView="80" workbookViewId="0">
      <selection activeCell="AD89" sqref="AD89"/>
    </sheetView>
  </sheetViews>
  <sheetFormatPr defaultColWidth="9.140625" defaultRowHeight="12.75" x14ac:dyDescent="0.2"/>
  <cols>
    <col min="1" max="13" width="9.140625" style="493"/>
    <col min="14" max="14" width="11.85546875" style="493" customWidth="1"/>
    <col min="15" max="16" width="9.140625" style="493"/>
    <col min="17" max="17" width="15.7109375" style="493" customWidth="1"/>
    <col min="18" max="16384" width="9.140625" style="493"/>
  </cols>
  <sheetData>
    <row r="1" spans="1:23" s="492" customFormat="1" ht="47.25" customHeight="1" x14ac:dyDescent="0.2">
      <c r="A1" s="560" t="s">
        <v>751</v>
      </c>
      <c r="B1" s="561"/>
      <c r="C1" s="561"/>
      <c r="D1" s="561"/>
      <c r="E1" s="561"/>
      <c r="F1" s="561"/>
      <c r="G1" s="561"/>
      <c r="H1" s="561"/>
      <c r="I1" s="561"/>
      <c r="J1" s="561"/>
      <c r="K1" s="561"/>
      <c r="L1" s="561"/>
      <c r="M1" s="561"/>
      <c r="N1" s="561"/>
      <c r="O1" s="561"/>
      <c r="P1" s="561"/>
      <c r="Q1" s="561"/>
    </row>
    <row r="2" spans="1:23" ht="20.25" x14ac:dyDescent="0.3">
      <c r="M2" s="494"/>
      <c r="W2" s="494"/>
    </row>
    <row r="3" spans="1:23" ht="20.25" x14ac:dyDescent="0.3">
      <c r="B3" s="494" t="s">
        <v>748</v>
      </c>
    </row>
    <row r="5" spans="1:23" ht="20.25" x14ac:dyDescent="0.2">
      <c r="O5" s="495"/>
    </row>
    <row r="6" spans="1:23" ht="20.25" x14ac:dyDescent="0.2">
      <c r="O6" s="495"/>
    </row>
    <row r="31" spans="15:15" ht="20.25" x14ac:dyDescent="0.2">
      <c r="O31" s="496"/>
    </row>
    <row r="32" spans="15:15" ht="20.25" x14ac:dyDescent="0.2">
      <c r="O32" s="495"/>
    </row>
    <row r="46" spans="2:2" ht="20.25" x14ac:dyDescent="0.3">
      <c r="B46" s="494" t="s">
        <v>760</v>
      </c>
    </row>
    <row r="50" spans="15:25" ht="20.25" x14ac:dyDescent="0.2">
      <c r="O50" s="495" t="s">
        <v>761</v>
      </c>
    </row>
    <row r="51" spans="15:25" ht="20.25" x14ac:dyDescent="0.2">
      <c r="O51" s="495" t="s">
        <v>762</v>
      </c>
      <c r="Y51" s="493" t="s">
        <v>749</v>
      </c>
    </row>
    <row r="76" spans="15:15" ht="20.25" x14ac:dyDescent="0.2">
      <c r="O76" s="496" t="s">
        <v>763</v>
      </c>
    </row>
    <row r="77" spans="15:15" ht="20.25" x14ac:dyDescent="0.2">
      <c r="O77" s="495"/>
    </row>
    <row r="102" spans="15:15" ht="20.25" x14ac:dyDescent="0.2">
      <c r="O102" s="496" t="s">
        <v>764</v>
      </c>
    </row>
    <row r="129" spans="15:15" ht="20.25" x14ac:dyDescent="0.2">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2.75" x14ac:dyDescent="0.2"/>
  <cols>
    <col min="1" max="1" width="35.140625" bestFit="1" customWidth="1"/>
    <col min="2" max="2" width="19.140625" customWidth="1"/>
    <col min="7" max="7" width="18.85546875" customWidth="1"/>
    <col min="9" max="10" width="12.42578125" bestFit="1" customWidth="1"/>
    <col min="12" max="12" width="19.85546875" customWidth="1"/>
    <col min="14" max="14" width="11.42578125" customWidth="1"/>
    <col min="17" max="17" width="10.5703125" customWidth="1"/>
    <col min="20" max="20" width="10.85546875" customWidth="1"/>
    <col min="21" max="21" width="10.5703125" customWidth="1"/>
  </cols>
  <sheetData>
    <row r="1" spans="1:22" ht="40.5" customHeight="1" x14ac:dyDescent="0.4">
      <c r="A1" s="563" t="s">
        <v>286</v>
      </c>
      <c r="B1" s="563"/>
      <c r="C1" s="563"/>
      <c r="D1" s="563"/>
      <c r="E1" s="563"/>
      <c r="F1" s="563"/>
      <c r="G1" s="563"/>
      <c r="H1" s="563"/>
    </row>
    <row r="2" spans="1:22" ht="12" customHeight="1" x14ac:dyDescent="0.2">
      <c r="A2" s="56"/>
      <c r="B2" s="56" t="s">
        <v>360</v>
      </c>
      <c r="C2" s="64"/>
      <c r="D2" s="56"/>
      <c r="E2" s="56"/>
      <c r="F2" s="56"/>
      <c r="G2" s="56"/>
      <c r="H2" s="56"/>
    </row>
    <row r="3" spans="1:22" ht="11.25" customHeight="1" x14ac:dyDescent="0.2">
      <c r="A3" s="56"/>
      <c r="B3" s="56" t="s">
        <v>420</v>
      </c>
      <c r="C3" s="65"/>
      <c r="D3" s="56"/>
      <c r="E3" s="56"/>
      <c r="F3" s="56"/>
      <c r="G3" s="56"/>
      <c r="H3" s="56"/>
    </row>
    <row r="4" spans="1:22" ht="11.25" customHeight="1" x14ac:dyDescent="0.2">
      <c r="A4" s="56"/>
      <c r="B4" s="56" t="s">
        <v>361</v>
      </c>
      <c r="C4" s="66"/>
      <c r="D4" s="56"/>
      <c r="E4" s="56"/>
      <c r="F4" s="56"/>
      <c r="G4" s="56"/>
      <c r="H4" s="56"/>
    </row>
    <row r="5" spans="1:22" x14ac:dyDescent="0.2">
      <c r="A5" s="2" t="s">
        <v>113</v>
      </c>
      <c r="B5" s="2" t="s">
        <v>8</v>
      </c>
      <c r="C5" s="2" t="s">
        <v>9</v>
      </c>
      <c r="D5" s="562" t="s">
        <v>13</v>
      </c>
      <c r="E5" s="562"/>
      <c r="F5" s="562"/>
      <c r="G5" s="562"/>
      <c r="H5" s="2" t="s">
        <v>38</v>
      </c>
    </row>
    <row r="6" spans="1:22" ht="16.5" thickBot="1" x14ac:dyDescent="0.3">
      <c r="A6" s="133" t="s">
        <v>288</v>
      </c>
      <c r="B6" s="2"/>
      <c r="C6" s="2"/>
      <c r="D6" s="56"/>
      <c r="E6" s="56"/>
      <c r="F6" s="56"/>
      <c r="G6" s="56"/>
      <c r="H6" s="2"/>
    </row>
    <row r="7" spans="1:22" x14ac:dyDescent="0.2">
      <c r="A7" s="134" t="s">
        <v>4</v>
      </c>
      <c r="B7" s="18">
        <f>'Design Regulator'!E7</f>
        <v>12.6</v>
      </c>
      <c r="C7" s="94" t="s">
        <v>0</v>
      </c>
      <c r="D7" s="94" t="s">
        <v>14</v>
      </c>
      <c r="E7" s="94"/>
      <c r="F7" s="94"/>
      <c r="G7" s="94"/>
      <c r="H7" s="95">
        <v>1</v>
      </c>
      <c r="U7" s="428" t="s">
        <v>755</v>
      </c>
      <c r="V7" s="500">
        <v>1</v>
      </c>
    </row>
    <row r="8" spans="1:22" x14ac:dyDescent="0.2">
      <c r="A8" s="389" t="s">
        <v>577</v>
      </c>
      <c r="B8" s="39">
        <f>'Design Regulator'!E6</f>
        <v>7.2</v>
      </c>
      <c r="C8" s="171" t="s">
        <v>0</v>
      </c>
      <c r="D8" s="171" t="s">
        <v>580</v>
      </c>
      <c r="H8" s="88"/>
      <c r="U8" s="428" t="s">
        <v>756</v>
      </c>
      <c r="V8" s="500">
        <v>2</v>
      </c>
    </row>
    <row r="9" spans="1:22" x14ac:dyDescent="0.2">
      <c r="A9" s="389" t="s">
        <v>576</v>
      </c>
      <c r="B9" s="39">
        <f>'Design Regulator'!E8</f>
        <v>25.2</v>
      </c>
      <c r="C9" s="171" t="s">
        <v>0</v>
      </c>
      <c r="D9" s="171" t="s">
        <v>581</v>
      </c>
      <c r="H9" s="88"/>
      <c r="U9" s="428" t="s">
        <v>757</v>
      </c>
      <c r="V9" s="500">
        <v>3</v>
      </c>
    </row>
    <row r="10" spans="1:22" x14ac:dyDescent="0.2">
      <c r="A10" s="87" t="s">
        <v>5</v>
      </c>
      <c r="B10" s="39">
        <f>'Design Regulator'!E9</f>
        <v>5</v>
      </c>
      <c r="C10" t="s">
        <v>0</v>
      </c>
      <c r="D10" t="s">
        <v>1</v>
      </c>
      <c r="H10" s="88">
        <v>1</v>
      </c>
      <c r="U10" s="428" t="s">
        <v>758</v>
      </c>
      <c r="V10" s="500">
        <v>4</v>
      </c>
    </row>
    <row r="11" spans="1:22" x14ac:dyDescent="0.2">
      <c r="A11" s="87" t="s">
        <v>6</v>
      </c>
      <c r="B11" s="39">
        <f>'Design Regulator'!E10</f>
        <v>20</v>
      </c>
      <c r="C11" t="s">
        <v>2</v>
      </c>
      <c r="D11" t="s">
        <v>15</v>
      </c>
      <c r="H11" s="88">
        <v>1</v>
      </c>
      <c r="U11" s="428" t="s">
        <v>747</v>
      </c>
      <c r="V11" s="500">
        <v>5</v>
      </c>
    </row>
    <row r="12" spans="1:22" x14ac:dyDescent="0.2">
      <c r="A12" s="89" t="s">
        <v>7</v>
      </c>
      <c r="B12" s="354">
        <f>IF(AND('Design Regulator'!E12&lt;='Design Regulator'!E11*1.5, 'Design Regulator'!E12&gt;='Design Regulator'!E11*0.8), 'Design Regulator'!E12*1000, 'Design Regulator'!E11*1000)</f>
        <v>256000</v>
      </c>
      <c r="C12" s="171" t="s">
        <v>10</v>
      </c>
      <c r="D12" t="s">
        <v>16</v>
      </c>
      <c r="H12" s="88">
        <v>1</v>
      </c>
      <c r="T12" s="384" t="s">
        <v>752</v>
      </c>
      <c r="U12" s="501" t="str">
        <f>CHOOSE(VARIANT, "LM5145", "LM5145-Q1", "LM25145", "LM5146", "LM5146-Q1")</f>
        <v>LM25145</v>
      </c>
      <c r="V12" s="384">
        <v>3</v>
      </c>
    </row>
    <row r="13" spans="1:22" x14ac:dyDescent="0.2">
      <c r="A13" s="389" t="s">
        <v>710</v>
      </c>
      <c r="B13" s="354">
        <f>'Design Regulator'!E11*1000</f>
        <v>256000</v>
      </c>
      <c r="C13" s="171" t="s">
        <v>10</v>
      </c>
      <c r="D13" s="171" t="s">
        <v>711</v>
      </c>
      <c r="H13" s="88"/>
      <c r="T13" s="384" t="s">
        <v>753</v>
      </c>
      <c r="U13" s="501">
        <f>CHOOSE(VARIANT, 75, 75, 42, 100, 100)</f>
        <v>42</v>
      </c>
      <c r="V13" t="s">
        <v>0</v>
      </c>
    </row>
    <row r="14" spans="1:22" x14ac:dyDescent="0.2">
      <c r="A14" s="89" t="s">
        <v>78</v>
      </c>
      <c r="B14" s="90">
        <v>0.8</v>
      </c>
      <c r="C14" t="s">
        <v>0</v>
      </c>
      <c r="D14" t="s">
        <v>79</v>
      </c>
      <c r="H14" s="88"/>
      <c r="T14" s="384" t="s">
        <v>759</v>
      </c>
      <c r="U14" s="501">
        <f>CHOOSE(VARIANT, 6, 6, 6, 5.5, 5.5)</f>
        <v>6</v>
      </c>
      <c r="V14" s="171" t="s">
        <v>0</v>
      </c>
    </row>
    <row r="15" spans="1:22" x14ac:dyDescent="0.2">
      <c r="A15" s="306" t="s">
        <v>575</v>
      </c>
      <c r="B15" s="166">
        <f>1/(B13*0.0000000001)</f>
        <v>39062.5</v>
      </c>
      <c r="C15" s="309" t="s">
        <v>208</v>
      </c>
      <c r="H15" s="88"/>
      <c r="T15" s="384" t="s">
        <v>754</v>
      </c>
      <c r="U15" s="501">
        <f>CHOOSE(VARIANT, 60, 60, 42, 60, 60)</f>
        <v>42</v>
      </c>
      <c r="V15" s="171" t="s">
        <v>0</v>
      </c>
    </row>
    <row r="16" spans="1:22" x14ac:dyDescent="0.2">
      <c r="A16" s="389"/>
      <c r="B16" s="63"/>
      <c r="C16" s="309"/>
      <c r="H16" s="88"/>
    </row>
    <row r="17" spans="1:22" x14ac:dyDescent="0.2">
      <c r="A17" s="389" t="s">
        <v>694</v>
      </c>
      <c r="B17" s="454">
        <f>B38/Fsw*1000000000</f>
        <v>809.15178571428567</v>
      </c>
      <c r="C17" s="171" t="s">
        <v>147</v>
      </c>
      <c r="H17" s="88"/>
    </row>
    <row r="18" spans="1:22" x14ac:dyDescent="0.2">
      <c r="A18" s="306" t="s">
        <v>693</v>
      </c>
      <c r="B18" s="455">
        <f>B37/Fsw*1000000000</f>
        <v>1074.21875</v>
      </c>
      <c r="C18" s="171" t="s">
        <v>147</v>
      </c>
      <c r="H18" s="88"/>
    </row>
    <row r="19" spans="1:22" ht="13.5" thickBot="1" x14ac:dyDescent="0.25">
      <c r="A19" s="91"/>
      <c r="B19" s="157"/>
      <c r="C19" s="92"/>
      <c r="D19" s="92"/>
      <c r="E19" s="92"/>
      <c r="F19" s="92"/>
      <c r="G19" s="92"/>
      <c r="H19" s="93"/>
      <c r="U19" s="428" t="s">
        <v>771</v>
      </c>
      <c r="V19" s="173">
        <v>1</v>
      </c>
    </row>
    <row r="20" spans="1:22" x14ac:dyDescent="0.2">
      <c r="U20" s="428" t="s">
        <v>766</v>
      </c>
      <c r="V20" s="173">
        <v>2</v>
      </c>
    </row>
    <row r="21" spans="1:22" x14ac:dyDescent="0.2">
      <c r="U21" s="502" t="s">
        <v>767</v>
      </c>
      <c r="V21" s="384">
        <v>1</v>
      </c>
    </row>
    <row r="22" spans="1:22" ht="16.5" thickBot="1" x14ac:dyDescent="0.3">
      <c r="A22" s="133" t="s">
        <v>112</v>
      </c>
    </row>
    <row r="23" spans="1:22" x14ac:dyDescent="0.2">
      <c r="A23" s="135" t="s">
        <v>19</v>
      </c>
      <c r="B23" s="390">
        <f>Vout/Vin</f>
        <v>0.39682539682539686</v>
      </c>
      <c r="C23" s="94" t="s">
        <v>23</v>
      </c>
      <c r="D23" s="94" t="s">
        <v>17</v>
      </c>
      <c r="E23" s="94"/>
      <c r="F23" s="94"/>
      <c r="G23" s="94"/>
      <c r="H23" s="95">
        <v>1</v>
      </c>
    </row>
    <row r="24" spans="1:22" x14ac:dyDescent="0.2">
      <c r="A24" s="96" t="s">
        <v>20</v>
      </c>
      <c r="B24" s="392">
        <f>1-23:23</f>
        <v>0.60317460317460314</v>
      </c>
      <c r="C24" t="s">
        <v>23</v>
      </c>
      <c r="D24" t="s">
        <v>18</v>
      </c>
      <c r="H24" s="88">
        <v>1</v>
      </c>
    </row>
    <row r="25" spans="1:22" x14ac:dyDescent="0.2">
      <c r="A25" s="393" t="s">
        <v>687</v>
      </c>
      <c r="B25" s="392">
        <f>Vout/Vinmin</f>
        <v>0.69444444444444442</v>
      </c>
      <c r="H25" s="88"/>
    </row>
    <row r="26" spans="1:22" x14ac:dyDescent="0.2">
      <c r="A26" s="393" t="s">
        <v>688</v>
      </c>
      <c r="B26" s="392">
        <f>1-B25</f>
        <v>0.30555555555555558</v>
      </c>
      <c r="H26" s="88"/>
    </row>
    <row r="27" spans="1:22" x14ac:dyDescent="0.2">
      <c r="A27" s="393" t="s">
        <v>579</v>
      </c>
      <c r="B27" s="392">
        <f>Vout/Vinmax</f>
        <v>0.19841269841269843</v>
      </c>
      <c r="H27" s="88"/>
    </row>
    <row r="28" spans="1:22" x14ac:dyDescent="0.2">
      <c r="A28" s="393" t="s">
        <v>578</v>
      </c>
      <c r="B28" s="392">
        <f>1-B27</f>
        <v>0.80158730158730163</v>
      </c>
      <c r="H28" s="88"/>
    </row>
    <row r="29" spans="1:22" x14ac:dyDescent="0.2">
      <c r="A29" s="393"/>
      <c r="B29" s="396"/>
      <c r="H29" s="88"/>
    </row>
    <row r="30" spans="1:22" x14ac:dyDescent="0.2">
      <c r="A30" s="96" t="s">
        <v>31</v>
      </c>
      <c r="B30" s="360">
        <f>(Vin-Vout)*_Don1/(Fsw*Iout*0.333)</f>
        <v>1.7688819772153106E-6</v>
      </c>
      <c r="C30" t="s">
        <v>24</v>
      </c>
      <c r="D30" t="s">
        <v>421</v>
      </c>
      <c r="H30" s="88">
        <v>1</v>
      </c>
    </row>
    <row r="31" spans="1:22" x14ac:dyDescent="0.2">
      <c r="A31" s="87" t="s">
        <v>32</v>
      </c>
      <c r="B31" s="114">
        <f>'Design Regulator'!E17/1000000</f>
        <v>1.8000000000000001E-6</v>
      </c>
      <c r="C31" t="s">
        <v>24</v>
      </c>
      <c r="D31" s="171" t="s">
        <v>543</v>
      </c>
      <c r="H31" s="88">
        <v>2</v>
      </c>
    </row>
    <row r="32" spans="1:22" x14ac:dyDescent="0.2">
      <c r="A32" s="87" t="s">
        <v>12</v>
      </c>
      <c r="B32" s="39">
        <f>'Design Regulator'!E18/1000</f>
        <v>5.0000000000000001E-3</v>
      </c>
      <c r="C32" s="309" t="s">
        <v>208</v>
      </c>
      <c r="D32" s="171" t="s">
        <v>419</v>
      </c>
      <c r="H32" s="88">
        <v>1</v>
      </c>
    </row>
    <row r="33" spans="1:18" x14ac:dyDescent="0.2">
      <c r="A33" s="388"/>
      <c r="C33" s="309"/>
      <c r="D33" s="171"/>
      <c r="H33" s="88"/>
    </row>
    <row r="34" spans="1:18" x14ac:dyDescent="0.2">
      <c r="A34" s="306" t="s">
        <v>21</v>
      </c>
      <c r="B34" s="453">
        <f>(Vout+(Rdcr+RdsonBot)*Iout)/(Vin+(RdsonBot-RdsonTop)*Iout)</f>
        <v>0.41428571428571426</v>
      </c>
      <c r="D34" s="2" t="s">
        <v>422</v>
      </c>
      <c r="H34" s="88">
        <v>2</v>
      </c>
    </row>
    <row r="35" spans="1:18" x14ac:dyDescent="0.2">
      <c r="A35" s="306" t="s">
        <v>22</v>
      </c>
      <c r="B35" s="453">
        <f>1-_Don2</f>
        <v>0.58571428571428574</v>
      </c>
      <c r="D35" s="2" t="s">
        <v>423</v>
      </c>
      <c r="H35" s="88">
        <v>2</v>
      </c>
    </row>
    <row r="36" spans="1:18" x14ac:dyDescent="0.2">
      <c r="A36" s="389" t="s">
        <v>689</v>
      </c>
      <c r="B36" s="453">
        <f>(Vout+(Rdcr+RdsonBot)*Iout)/(Vinmin+(RdsonBot-RdsonTop)*Iout)</f>
        <v>0.72499999999999998</v>
      </c>
      <c r="H36" s="88"/>
    </row>
    <row r="37" spans="1:18" x14ac:dyDescent="0.2">
      <c r="A37" s="389" t="s">
        <v>690</v>
      </c>
      <c r="B37" s="453">
        <f>1-B36</f>
        <v>0.27500000000000002</v>
      </c>
      <c r="H37" s="88"/>
    </row>
    <row r="38" spans="1:18" x14ac:dyDescent="0.2">
      <c r="A38" s="389" t="s">
        <v>691</v>
      </c>
      <c r="B38" s="453">
        <f>(Vout+(Rdcr+RdsonBot)*Iout)/(Vinmax+(RdsonBot-RdsonTop)*Iout)</f>
        <v>0.20714285714285713</v>
      </c>
      <c r="H38" s="88"/>
      <c r="L38" s="467" t="s">
        <v>740</v>
      </c>
      <c r="M38" s="468">
        <v>100</v>
      </c>
      <c r="N38" s="469">
        <v>1</v>
      </c>
    </row>
    <row r="39" spans="1:18" x14ac:dyDescent="0.2">
      <c r="A39" s="389" t="s">
        <v>692</v>
      </c>
      <c r="B39" s="453">
        <f>1-B38</f>
        <v>0.79285714285714293</v>
      </c>
      <c r="H39" s="88"/>
      <c r="L39" s="467" t="s">
        <v>628</v>
      </c>
      <c r="M39" s="468">
        <v>47</v>
      </c>
      <c r="N39" s="469">
        <v>2</v>
      </c>
    </row>
    <row r="40" spans="1:18" x14ac:dyDescent="0.2">
      <c r="A40" s="393"/>
      <c r="B40" s="1"/>
      <c r="H40" s="88"/>
      <c r="L40" s="467" t="s">
        <v>630</v>
      </c>
      <c r="M40" s="468">
        <v>22</v>
      </c>
      <c r="N40" s="469">
        <v>3</v>
      </c>
    </row>
    <row r="41" spans="1:18" x14ac:dyDescent="0.2">
      <c r="A41" s="87" t="s">
        <v>26</v>
      </c>
      <c r="B41" s="98">
        <f>'Design Regulator'!E31/1000</f>
        <v>0.2</v>
      </c>
      <c r="C41" t="s">
        <v>0</v>
      </c>
      <c r="D41" t="s">
        <v>27</v>
      </c>
      <c r="H41" s="88">
        <v>1</v>
      </c>
      <c r="L41" s="467" t="s">
        <v>632</v>
      </c>
      <c r="M41" s="468">
        <v>22</v>
      </c>
      <c r="N41" s="469">
        <v>4</v>
      </c>
    </row>
    <row r="42" spans="1:18" x14ac:dyDescent="0.2">
      <c r="A42" s="99" t="s">
        <v>33</v>
      </c>
      <c r="B42" s="391">
        <f>(Vin-Vout)*_Don2/(Fsw*Lout2)</f>
        <v>6.8328373015872996</v>
      </c>
      <c r="C42" t="s">
        <v>2</v>
      </c>
      <c r="D42" s="171" t="s">
        <v>544</v>
      </c>
      <c r="H42" s="88">
        <v>1</v>
      </c>
      <c r="L42" s="428" t="s">
        <v>657</v>
      </c>
      <c r="M42" s="468">
        <v>10</v>
      </c>
      <c r="N42" s="469">
        <v>5</v>
      </c>
    </row>
    <row r="43" spans="1:18" x14ac:dyDescent="0.2">
      <c r="A43" s="99" t="s">
        <v>411</v>
      </c>
      <c r="B43" s="391">
        <f>Rdcr*(1+0.0039*(F43-25))</f>
        <v>6.4625000000000004E-3</v>
      </c>
      <c r="C43" t="s">
        <v>25</v>
      </c>
      <c r="E43" t="s">
        <v>412</v>
      </c>
      <c r="F43">
        <v>100</v>
      </c>
      <c r="H43" s="88"/>
      <c r="L43" s="428" t="s">
        <v>658</v>
      </c>
      <c r="M43" s="468">
        <v>4.7</v>
      </c>
      <c r="N43" s="469">
        <v>6</v>
      </c>
    </row>
    <row r="44" spans="1:18" ht="13.5" thickBot="1" x14ac:dyDescent="0.25">
      <c r="A44" s="100" t="s">
        <v>356</v>
      </c>
      <c r="B44" s="101">
        <f>Lout2/Rdcr</f>
        <v>3.6000000000000002E-4</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
      <c r="A45" s="2"/>
      <c r="B45" s="1"/>
      <c r="Q45" s="431" t="s">
        <v>716</v>
      </c>
      <c r="R45" s="173">
        <v>2</v>
      </c>
    </row>
    <row r="46" spans="1:18" ht="16.5" thickBot="1" x14ac:dyDescent="0.3">
      <c r="A46" s="133" t="s">
        <v>275</v>
      </c>
      <c r="B46" s="1"/>
    </row>
    <row r="47" spans="1:18" x14ac:dyDescent="0.2">
      <c r="A47" s="136"/>
      <c r="B47" s="137"/>
      <c r="C47" s="94"/>
      <c r="D47" s="94"/>
      <c r="E47" s="94"/>
      <c r="F47" s="94"/>
      <c r="G47" s="94"/>
      <c r="H47" s="95"/>
    </row>
    <row r="48" spans="1:18" x14ac:dyDescent="0.2">
      <c r="A48" s="99"/>
      <c r="B48" s="165"/>
      <c r="H48" s="88"/>
      <c r="L48" s="431" t="s">
        <v>682</v>
      </c>
      <c r="M48" s="173">
        <v>1</v>
      </c>
      <c r="N48" s="431" t="s">
        <v>679</v>
      </c>
      <c r="O48" s="63">
        <v>30</v>
      </c>
    </row>
    <row r="49" spans="1:19" x14ac:dyDescent="0.2">
      <c r="A49" s="99" t="s">
        <v>611</v>
      </c>
      <c r="B49" s="165">
        <f>'Design Regulator'!E25</f>
        <v>20</v>
      </c>
      <c r="H49" s="88"/>
      <c r="L49" s="431" t="s">
        <v>683</v>
      </c>
      <c r="M49" s="173">
        <v>2</v>
      </c>
      <c r="N49" s="431" t="s">
        <v>680</v>
      </c>
      <c r="O49" s="63">
        <v>10.9</v>
      </c>
    </row>
    <row r="50" spans="1:19" x14ac:dyDescent="0.2">
      <c r="A50" s="87" t="s">
        <v>273</v>
      </c>
      <c r="B50" s="386">
        <f>'Design Regulator'!E25-Iripple1/2</f>
        <v>16.583581349206352</v>
      </c>
      <c r="C50" t="s">
        <v>2</v>
      </c>
      <c r="D50" s="171" t="s">
        <v>582</v>
      </c>
      <c r="H50" s="88"/>
      <c r="L50" s="431" t="s">
        <v>684</v>
      </c>
      <c r="M50" s="173">
        <v>3</v>
      </c>
      <c r="N50" s="431" t="s">
        <v>686</v>
      </c>
      <c r="O50" s="63">
        <v>66</v>
      </c>
    </row>
    <row r="51" spans="1:19" x14ac:dyDescent="0.2">
      <c r="A51" s="389" t="s">
        <v>606</v>
      </c>
      <c r="B51" s="395">
        <f>ROUND('Design Regulator'!E25+Iripple1/2,0)*1.2</f>
        <v>27.599999999999998</v>
      </c>
      <c r="C51" s="171" t="s">
        <v>2</v>
      </c>
      <c r="D51" s="171"/>
      <c r="H51" s="88"/>
      <c r="L51" s="431" t="s">
        <v>685</v>
      </c>
      <c r="M51" s="173">
        <v>4</v>
      </c>
      <c r="N51" s="431" t="s">
        <v>681</v>
      </c>
      <c r="O51" s="63">
        <v>150</v>
      </c>
    </row>
    <row r="52" spans="1:19" x14ac:dyDescent="0.2">
      <c r="A52" s="389"/>
      <c r="B52" s="401"/>
      <c r="C52" s="171"/>
      <c r="D52" s="171"/>
      <c r="H52" s="88"/>
      <c r="K52" s="429" t="s">
        <v>661</v>
      </c>
      <c r="L52" s="383" t="str">
        <f>CHOOSE(M52, L48, L49, L50, L51)</f>
        <v>SON 5 x 6</v>
      </c>
      <c r="M52" s="384">
        <v>1</v>
      </c>
    </row>
    <row r="53" spans="1:19" x14ac:dyDescent="0.2">
      <c r="A53" s="306" t="s">
        <v>591</v>
      </c>
      <c r="B53" s="102">
        <v>2.0000000000000001E-4</v>
      </c>
      <c r="C53" t="s">
        <v>2</v>
      </c>
      <c r="D53" s="171" t="s">
        <v>583</v>
      </c>
      <c r="H53" s="88"/>
    </row>
    <row r="54" spans="1:19" ht="15.75" x14ac:dyDescent="0.3">
      <c r="A54" s="389" t="s">
        <v>592</v>
      </c>
      <c r="B54" s="102">
        <v>1E-4</v>
      </c>
      <c r="C54" t="s">
        <v>2</v>
      </c>
      <c r="D54" s="171" t="s">
        <v>584</v>
      </c>
      <c r="H54" s="88"/>
      <c r="L54" s="171" t="s">
        <v>602</v>
      </c>
      <c r="M54" s="173">
        <v>1</v>
      </c>
    </row>
    <row r="55" spans="1:19" x14ac:dyDescent="0.2">
      <c r="A55" s="306" t="s">
        <v>593</v>
      </c>
      <c r="B55" s="387">
        <f>ILimit*RdsonBot/Ilim1</f>
        <v>497.50744047619054</v>
      </c>
      <c r="C55" s="309" t="s">
        <v>208</v>
      </c>
      <c r="D55" s="171" t="s">
        <v>587</v>
      </c>
      <c r="H55" s="88"/>
      <c r="L55" s="171" t="s">
        <v>603</v>
      </c>
      <c r="M55" s="173">
        <v>2</v>
      </c>
    </row>
    <row r="56" spans="1:19" x14ac:dyDescent="0.2">
      <c r="A56" s="306" t="s">
        <v>594</v>
      </c>
      <c r="B56" s="104">
        <f>'Standard Value Calculator'!S6</f>
        <v>499</v>
      </c>
      <c r="C56" s="309" t="s">
        <v>208</v>
      </c>
      <c r="D56" s="171" t="s">
        <v>586</v>
      </c>
      <c r="H56" s="88"/>
      <c r="K56" s="429" t="s">
        <v>660</v>
      </c>
      <c r="L56" s="383" t="str">
        <f>CHOOSE(RDSON_sense, L54,L55)</f>
        <v>RDS(on) sensing</v>
      </c>
      <c r="M56" s="384">
        <v>1</v>
      </c>
      <c r="N56" s="171" t="s">
        <v>574</v>
      </c>
    </row>
    <row r="57" spans="1:19" x14ac:dyDescent="0.2">
      <c r="H57" s="88"/>
      <c r="L57" s="384"/>
      <c r="M57" s="171"/>
    </row>
    <row r="58" spans="1:19" x14ac:dyDescent="0.2">
      <c r="A58" s="389" t="s">
        <v>585</v>
      </c>
      <c r="B58" s="394">
        <f>'Design Regulator'!E24/1000</f>
        <v>6.0000000000000001E-3</v>
      </c>
      <c r="C58" s="309" t="s">
        <v>208</v>
      </c>
      <c r="H58" s="88"/>
      <c r="J58" s="383"/>
      <c r="L58" s="384"/>
      <c r="M58" s="171"/>
    </row>
    <row r="59" spans="1:19" x14ac:dyDescent="0.2">
      <c r="A59" s="389" t="s">
        <v>590</v>
      </c>
      <c r="B59" s="104">
        <f>ILimit*Rshunt/Ilim2</f>
        <v>995.01488095238108</v>
      </c>
      <c r="C59" s="309" t="s">
        <v>208</v>
      </c>
      <c r="H59" s="88"/>
      <c r="K59" s="428" t="s">
        <v>740</v>
      </c>
      <c r="L59" s="2" t="s">
        <v>627</v>
      </c>
      <c r="M59" s="173">
        <v>1</v>
      </c>
      <c r="Q59" s="428"/>
      <c r="R59" s="2"/>
      <c r="S59" s="173"/>
    </row>
    <row r="60" spans="1:19" x14ac:dyDescent="0.2">
      <c r="A60" s="306" t="s">
        <v>595</v>
      </c>
      <c r="B60" s="105">
        <f>'Standard Value Calculator'!S22</f>
        <v>1000</v>
      </c>
      <c r="C60" s="309" t="s">
        <v>208</v>
      </c>
      <c r="D60" s="171" t="s">
        <v>586</v>
      </c>
      <c r="H60" s="88"/>
      <c r="K60" s="428" t="s">
        <v>628</v>
      </c>
      <c r="L60" s="2" t="s">
        <v>629</v>
      </c>
      <c r="M60" s="173">
        <v>2</v>
      </c>
      <c r="Q60" s="428" t="s">
        <v>669</v>
      </c>
      <c r="R60" s="2" t="s">
        <v>629</v>
      </c>
      <c r="S60" s="173">
        <v>1</v>
      </c>
    </row>
    <row r="61" spans="1:19" x14ac:dyDescent="0.2">
      <c r="A61" s="389"/>
      <c r="B61" s="105"/>
      <c r="C61" s="309"/>
      <c r="D61" s="171"/>
      <c r="H61" s="88"/>
      <c r="K61" s="428" t="s">
        <v>630</v>
      </c>
      <c r="L61" s="2" t="s">
        <v>631</v>
      </c>
      <c r="M61" s="173">
        <v>3</v>
      </c>
      <c r="Q61" s="428" t="s">
        <v>670</v>
      </c>
      <c r="R61" s="2" t="s">
        <v>631</v>
      </c>
      <c r="S61" s="173">
        <v>2</v>
      </c>
    </row>
    <row r="62" spans="1:19" x14ac:dyDescent="0.2">
      <c r="A62" s="306" t="s">
        <v>589</v>
      </c>
      <c r="B62" s="394">
        <f>ROUND(((1-Don_Vinmax)*Iout)^2*Rshunt,2)</f>
        <v>1.54</v>
      </c>
      <c r="C62" s="171" t="s">
        <v>208</v>
      </c>
      <c r="H62" s="88"/>
      <c r="K62" s="428" t="s">
        <v>632</v>
      </c>
      <c r="L62" s="2" t="s">
        <v>633</v>
      </c>
      <c r="M62" s="173">
        <v>4</v>
      </c>
      <c r="Q62" s="428" t="s">
        <v>671</v>
      </c>
      <c r="R62" s="2" t="s">
        <v>633</v>
      </c>
      <c r="S62" s="173">
        <v>3</v>
      </c>
    </row>
    <row r="63" spans="1:19" x14ac:dyDescent="0.2">
      <c r="A63" s="389"/>
      <c r="B63" s="394"/>
      <c r="C63" s="171"/>
      <c r="H63" s="88"/>
      <c r="K63" s="428"/>
      <c r="L63" s="2"/>
      <c r="M63" s="173"/>
      <c r="Q63" s="428"/>
      <c r="R63" s="2"/>
      <c r="S63" s="173"/>
    </row>
    <row r="64" spans="1:19" x14ac:dyDescent="0.2">
      <c r="A64" s="87" t="s">
        <v>700</v>
      </c>
      <c r="B64" s="464">
        <f>0.000000006/Rilim_Rdson_ideal - 0.000000000002</f>
        <v>1.0060121139609661E-11</v>
      </c>
      <c r="C64" s="171" t="s">
        <v>34</v>
      </c>
      <c r="D64" t="s">
        <v>704</v>
      </c>
      <c r="H64" s="88"/>
      <c r="K64" s="428" t="s">
        <v>657</v>
      </c>
      <c r="L64" s="2" t="s">
        <v>634</v>
      </c>
      <c r="M64" s="173">
        <v>5</v>
      </c>
      <c r="Q64" s="428" t="s">
        <v>672</v>
      </c>
      <c r="R64" s="2" t="s">
        <v>634</v>
      </c>
      <c r="S64" s="173">
        <v>4</v>
      </c>
    </row>
    <row r="65" spans="1:19" x14ac:dyDescent="0.2">
      <c r="A65" s="87" t="s">
        <v>701</v>
      </c>
      <c r="B65" s="104">
        <f>'Standard Value Calculator'!S23</f>
        <v>10</v>
      </c>
      <c r="C65" s="171" t="s">
        <v>53</v>
      </c>
      <c r="H65" s="88"/>
      <c r="K65" s="428" t="s">
        <v>658</v>
      </c>
      <c r="L65" s="2" t="s">
        <v>659</v>
      </c>
      <c r="M65" s="173">
        <v>6</v>
      </c>
      <c r="Q65" s="428" t="s">
        <v>673</v>
      </c>
      <c r="R65" s="2" t="s">
        <v>659</v>
      </c>
      <c r="S65" s="173">
        <v>5</v>
      </c>
    </row>
    <row r="66" spans="1:19" ht="13.5" thickBot="1" x14ac:dyDescent="0.25">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5" thickBot="1" x14ac:dyDescent="0.3">
      <c r="A68" s="133" t="s">
        <v>276</v>
      </c>
    </row>
    <row r="69" spans="1:19" x14ac:dyDescent="0.2">
      <c r="A69" s="134" t="s">
        <v>284</v>
      </c>
      <c r="B69" s="449">
        <f>Iripple1/SQRT(3)/2</f>
        <v>1.972470227700172</v>
      </c>
      <c r="C69" s="174" t="s">
        <v>2</v>
      </c>
      <c r="D69" s="174" t="s">
        <v>481</v>
      </c>
      <c r="E69" s="94"/>
      <c r="F69" s="94"/>
      <c r="G69" s="94"/>
      <c r="H69" s="95"/>
      <c r="L69" s="430" t="s">
        <v>636</v>
      </c>
      <c r="M69" s="173">
        <v>1</v>
      </c>
      <c r="N69" s="171" t="s">
        <v>637</v>
      </c>
      <c r="O69" s="63">
        <v>0.5</v>
      </c>
    </row>
    <row r="70" spans="1:19" x14ac:dyDescent="0.2">
      <c r="A70" s="96" t="s">
        <v>29</v>
      </c>
      <c r="B70" s="97">
        <f>(Iripple1/(Vripple1*Fsw*8))</f>
        <v>1.6681731693328368E-5</v>
      </c>
      <c r="C70" t="s">
        <v>34</v>
      </c>
      <c r="D70" t="s">
        <v>28</v>
      </c>
      <c r="H70" s="88">
        <v>1</v>
      </c>
      <c r="L70" s="430" t="s">
        <v>501</v>
      </c>
      <c r="M70" s="173">
        <v>2</v>
      </c>
      <c r="N70" s="171" t="s">
        <v>638</v>
      </c>
      <c r="O70" s="63">
        <v>1.3</v>
      </c>
    </row>
    <row r="71" spans="1:19" x14ac:dyDescent="0.2">
      <c r="A71" s="87" t="s">
        <v>36</v>
      </c>
      <c r="B71" s="39">
        <f>'Design Regulator'!E33/1000000</f>
        <v>1E-4</v>
      </c>
      <c r="C71" t="s">
        <v>34</v>
      </c>
      <c r="D71" t="s">
        <v>35</v>
      </c>
      <c r="H71" s="88">
        <v>1</v>
      </c>
      <c r="L71" s="430" t="s">
        <v>639</v>
      </c>
      <c r="M71" s="173">
        <v>3</v>
      </c>
      <c r="N71" s="171" t="s">
        <v>640</v>
      </c>
      <c r="O71" s="63">
        <v>2.5</v>
      </c>
    </row>
    <row r="72" spans="1:19" x14ac:dyDescent="0.2">
      <c r="A72" s="96" t="s">
        <v>114</v>
      </c>
      <c r="B72" s="392">
        <f>SQRT((Vripple1/Iripple1)^2-(1/(Fsw*Cout*8))^2)</f>
        <v>2.8860275088757392E-2</v>
      </c>
      <c r="C72" s="309" t="s">
        <v>208</v>
      </c>
      <c r="D72" s="171" t="s">
        <v>482</v>
      </c>
      <c r="H72" s="88">
        <v>1</v>
      </c>
      <c r="L72" s="430" t="s">
        <v>641</v>
      </c>
      <c r="M72" s="173">
        <v>4</v>
      </c>
      <c r="N72" s="171" t="s">
        <v>642</v>
      </c>
      <c r="O72" s="63">
        <v>5.0999999999999996</v>
      </c>
    </row>
    <row r="73" spans="1:19" x14ac:dyDescent="0.2">
      <c r="A73" s="87" t="s">
        <v>272</v>
      </c>
      <c r="B73" s="90">
        <f>'Design Regulator'!E35/1000</f>
        <v>1E-3</v>
      </c>
      <c r="C73" s="309" t="s">
        <v>208</v>
      </c>
      <c r="D73" s="171" t="s">
        <v>483</v>
      </c>
      <c r="H73" s="88">
        <v>1</v>
      </c>
      <c r="L73" s="430" t="s">
        <v>643</v>
      </c>
      <c r="M73" s="173">
        <v>5</v>
      </c>
      <c r="N73" s="171" t="s">
        <v>644</v>
      </c>
      <c r="O73" s="63">
        <v>8</v>
      </c>
    </row>
    <row r="74" spans="1:19" ht="13.5" thickBot="1" x14ac:dyDescent="0.25">
      <c r="A74" s="108" t="s">
        <v>363</v>
      </c>
      <c r="B74" s="448">
        <f>Iripple1*SQRT(CoutEsr^2+(1/(8*Fsw*Cout))^2)</f>
        <v>3.4055959166388892E-2</v>
      </c>
      <c r="C74" s="157" t="s">
        <v>75</v>
      </c>
      <c r="D74" s="92"/>
      <c r="E74" s="92"/>
      <c r="F74" s="92"/>
      <c r="G74" s="92"/>
      <c r="H74" s="93"/>
      <c r="K74" s="429" t="s">
        <v>645</v>
      </c>
      <c r="L74" s="383" t="str">
        <f>CHOOSE(M74,"0402","0603","0805","1206","1210")</f>
        <v>1210</v>
      </c>
      <c r="M74" s="384">
        <v>5</v>
      </c>
      <c r="N74" s="383" t="str">
        <f>CHOOSE(M74,N69,N70, N71,N72,N73)</f>
        <v>3.2 x 2.5</v>
      </c>
    </row>
    <row r="76" spans="1:19" ht="13.5" thickBot="1" x14ac:dyDescent="0.25"/>
    <row r="77" spans="1:19" ht="15.75" x14ac:dyDescent="0.25">
      <c r="A77" s="144" t="s">
        <v>277</v>
      </c>
      <c r="B77" s="145"/>
      <c r="C77" s="145"/>
      <c r="D77" s="145"/>
      <c r="E77" s="145"/>
      <c r="F77" s="145"/>
      <c r="G77" s="145"/>
      <c r="H77" s="146"/>
    </row>
    <row r="78" spans="1:19" x14ac:dyDescent="0.2">
      <c r="A78" s="147" t="s">
        <v>416</v>
      </c>
      <c r="B78" s="112">
        <f>'Design Regulator'!E40/1000</f>
        <v>0.5</v>
      </c>
      <c r="C78" t="s">
        <v>75</v>
      </c>
      <c r="H78" s="148"/>
      <c r="L78" s="171" t="s">
        <v>646</v>
      </c>
      <c r="M78" s="173">
        <v>1</v>
      </c>
      <c r="N78" s="431" t="s">
        <v>647</v>
      </c>
      <c r="O78" s="63">
        <v>9</v>
      </c>
    </row>
    <row r="79" spans="1:19" x14ac:dyDescent="0.2">
      <c r="A79" s="149" t="s">
        <v>283</v>
      </c>
      <c r="B79" s="168">
        <f>Iout*SQRT(_Don2*Doff2)</f>
        <v>9.8519655140380955</v>
      </c>
      <c r="C79" s="142" t="s">
        <v>2</v>
      </c>
      <c r="H79" s="148"/>
      <c r="L79" s="171" t="s">
        <v>648</v>
      </c>
      <c r="M79" s="173">
        <v>2</v>
      </c>
      <c r="N79" s="431" t="s">
        <v>649</v>
      </c>
      <c r="O79" s="63">
        <v>16</v>
      </c>
    </row>
    <row r="80" spans="1:19" x14ac:dyDescent="0.2">
      <c r="A80" s="149" t="s">
        <v>415</v>
      </c>
      <c r="B80" s="154">
        <f>Iout*_Don2*(1-_Don2)/(Vinripple1*Fsw)</f>
        <v>3.7914540816326533E-5</v>
      </c>
      <c r="C80" s="142" t="s">
        <v>34</v>
      </c>
      <c r="H80" s="148"/>
      <c r="L80" s="171" t="s">
        <v>650</v>
      </c>
      <c r="M80" s="173">
        <v>3</v>
      </c>
      <c r="N80" s="431" t="s">
        <v>651</v>
      </c>
      <c r="O80" s="63">
        <v>25</v>
      </c>
    </row>
    <row r="81" spans="1:15" x14ac:dyDescent="0.2">
      <c r="A81" s="149" t="s">
        <v>127</v>
      </c>
      <c r="B81" s="143">
        <f>'Design Regulator'!E42/1000000</f>
        <v>1.4999999999999999E-4</v>
      </c>
      <c r="C81" s="142" t="s">
        <v>34</v>
      </c>
      <c r="D81" t="s">
        <v>287</v>
      </c>
      <c r="H81" s="148"/>
      <c r="L81" s="171" t="s">
        <v>652</v>
      </c>
      <c r="M81" s="173">
        <v>4</v>
      </c>
      <c r="N81" s="431" t="s">
        <v>653</v>
      </c>
      <c r="O81" s="63">
        <v>36</v>
      </c>
    </row>
    <row r="82" spans="1:15" x14ac:dyDescent="0.2">
      <c r="A82" s="149" t="s">
        <v>417</v>
      </c>
      <c r="B82" s="155">
        <f>-(Iout*_Don2*(1-_Don2)/(Cin*Fsw)-Vinripple1)/(Iout+Iripple1/2)</f>
        <v>1.5955394496939803E-2</v>
      </c>
      <c r="C82" s="309" t="s">
        <v>208</v>
      </c>
      <c r="H82" s="148"/>
      <c r="L82" s="171" t="s">
        <v>654</v>
      </c>
      <c r="M82" s="173">
        <v>5</v>
      </c>
      <c r="N82" s="431" t="s">
        <v>655</v>
      </c>
      <c r="O82" s="63">
        <v>49</v>
      </c>
    </row>
    <row r="83" spans="1:15" x14ac:dyDescent="0.2">
      <c r="A83" s="149" t="s">
        <v>159</v>
      </c>
      <c r="B83" s="143">
        <f>'Design Regulator'!E44/1000</f>
        <v>2E-3</v>
      </c>
      <c r="C83" s="309" t="s">
        <v>208</v>
      </c>
      <c r="D83" s="171" t="s">
        <v>484</v>
      </c>
      <c r="H83" s="148"/>
      <c r="L83" s="171" t="s">
        <v>662</v>
      </c>
      <c r="M83" s="173">
        <v>6</v>
      </c>
      <c r="N83" s="431" t="s">
        <v>663</v>
      </c>
      <c r="O83" s="63">
        <v>64</v>
      </c>
    </row>
    <row r="84" spans="1:15" x14ac:dyDescent="0.2">
      <c r="A84" s="149" t="s">
        <v>418</v>
      </c>
      <c r="B84" s="169">
        <f>Iout*_Don2*(1-_Don2)/(Cin*Fsw)+(Iout +Iripple1/2)*RCinEsr</f>
        <v>0.17321464002267575</v>
      </c>
      <c r="C84" s="142" t="s">
        <v>75</v>
      </c>
      <c r="H84" s="148"/>
      <c r="L84" s="171" t="s">
        <v>664</v>
      </c>
      <c r="M84" s="173">
        <v>7</v>
      </c>
      <c r="N84" s="431" t="s">
        <v>665</v>
      </c>
      <c r="O84" s="63">
        <v>100</v>
      </c>
    </row>
    <row r="85" spans="1:15" ht="13.5" thickBot="1" x14ac:dyDescent="0.25">
      <c r="A85" s="150"/>
      <c r="B85" s="156">
        <f>Iout*_Don1*(1-_Don1)/(Cin*Fsw)</f>
        <v>0.12466406315612666</v>
      </c>
      <c r="C85" s="151"/>
      <c r="D85" s="152"/>
      <c r="E85" s="152"/>
      <c r="F85" s="152"/>
      <c r="G85" s="152"/>
      <c r="H85" s="153"/>
      <c r="L85" s="171" t="s">
        <v>666</v>
      </c>
      <c r="M85" s="173">
        <v>8</v>
      </c>
      <c r="N85" s="431" t="s">
        <v>667</v>
      </c>
      <c r="O85" s="63">
        <v>144</v>
      </c>
    </row>
    <row r="86" spans="1:15" x14ac:dyDescent="0.2">
      <c r="K86" s="429" t="s">
        <v>656</v>
      </c>
      <c r="L86" s="383" t="str">
        <f>CHOOSE(M86,L78,L79, L80, L81, L82, L83, L84, L85)</f>
        <v>12mm x 12mm</v>
      </c>
      <c r="M86" s="384">
        <v>8</v>
      </c>
      <c r="N86" s="383" t="str">
        <f>CHOOSE(M86,N78,N79, N80,N81,N82, N83, N84, N85)</f>
        <v>12.0 x 12.0</v>
      </c>
      <c r="O86" s="383"/>
    </row>
    <row r="87" spans="1:15" ht="16.5" thickBot="1" x14ac:dyDescent="0.3">
      <c r="A87" s="133" t="s">
        <v>290</v>
      </c>
    </row>
    <row r="88" spans="1:15" x14ac:dyDescent="0.2">
      <c r="A88" s="134" t="s">
        <v>292</v>
      </c>
      <c r="B88" s="18">
        <f>'Design Regulator'!E49/1000</f>
        <v>4.0000000000000001E-3</v>
      </c>
      <c r="C88" s="94" t="s">
        <v>265</v>
      </c>
      <c r="D88" s="94" t="s">
        <v>293</v>
      </c>
      <c r="E88" s="94"/>
      <c r="F88" s="94"/>
      <c r="G88" s="94"/>
      <c r="H88" s="95"/>
    </row>
    <row r="89" spans="1:15" x14ac:dyDescent="0.2">
      <c r="A89" s="87" t="s">
        <v>294</v>
      </c>
      <c r="B89" s="103">
        <f>Cout*Vout/Tss</f>
        <v>0.125</v>
      </c>
      <c r="C89" t="s">
        <v>2</v>
      </c>
      <c r="D89" s="171" t="s">
        <v>440</v>
      </c>
      <c r="H89" s="88"/>
    </row>
    <row r="90" spans="1:15" x14ac:dyDescent="0.2">
      <c r="A90" s="87" t="s">
        <v>295</v>
      </c>
      <c r="B90" s="110">
        <f>0.00001*Tss/0.8</f>
        <v>4.9999999999999998E-8</v>
      </c>
      <c r="C90" t="s">
        <v>34</v>
      </c>
      <c r="H90" s="88"/>
    </row>
    <row r="91" spans="1:15" ht="13.5" thickBot="1" x14ac:dyDescent="0.25">
      <c r="A91" s="91" t="s">
        <v>311</v>
      </c>
      <c r="B91" s="109">
        <f>'Standard Value Calculator'!B4</f>
        <v>4.6999999999999997E-8</v>
      </c>
      <c r="C91" s="92" t="s">
        <v>34</v>
      </c>
      <c r="D91" s="92"/>
      <c r="E91" s="92"/>
      <c r="F91" s="92"/>
      <c r="G91" s="92"/>
      <c r="H91" s="93"/>
    </row>
    <row r="93" spans="1:15" ht="16.5" thickBot="1" x14ac:dyDescent="0.3">
      <c r="A93" s="133" t="s">
        <v>329</v>
      </c>
    </row>
    <row r="94" spans="1:15" x14ac:dyDescent="0.2">
      <c r="A94" s="305"/>
      <c r="B94" s="138"/>
      <c r="C94" s="174"/>
      <c r="D94" s="94"/>
      <c r="E94" s="94"/>
      <c r="F94" s="94"/>
      <c r="G94" s="94"/>
      <c r="H94" s="95"/>
    </row>
    <row r="95" spans="1:15" ht="15.75" x14ac:dyDescent="0.3">
      <c r="A95" s="306" t="s">
        <v>486</v>
      </c>
      <c r="B95" s="54">
        <f>'Design Regulator'!E51</f>
        <v>34</v>
      </c>
      <c r="C95" s="171" t="s">
        <v>0</v>
      </c>
      <c r="H95" s="88"/>
    </row>
    <row r="96" spans="1:15" ht="15.75" x14ac:dyDescent="0.3">
      <c r="A96" s="306" t="s">
        <v>487</v>
      </c>
      <c r="B96" s="54">
        <f>'Design Regulator'!E52</f>
        <v>30</v>
      </c>
      <c r="C96" s="171" t="s">
        <v>0</v>
      </c>
      <c r="H96" s="88"/>
    </row>
    <row r="97" spans="1:8" ht="15.75" x14ac:dyDescent="0.3">
      <c r="A97" s="306" t="s">
        <v>516</v>
      </c>
      <c r="B97" s="63">
        <f>(VINuvlo_off-VINuvlo_on*Vuvlo_off/Vuvlo_on)/(Iuvlo1*Vuvlo_off/Vuvlo_on-Iuvlo2)</f>
        <v>400</v>
      </c>
      <c r="C97" s="55" t="s">
        <v>493</v>
      </c>
      <c r="D97">
        <f>'Standard Value Calculator'!S16</f>
        <v>402</v>
      </c>
      <c r="E97" s="55" t="s">
        <v>493</v>
      </c>
      <c r="F97" s="54">
        <f>IF(Ruvlo1&lt;0,"N/A",D97)</f>
        <v>402</v>
      </c>
      <c r="G97" s="54" t="str">
        <f>IF(Ruvlo1&lt;0,"N/A",D97&amp;"kΩ")</f>
        <v>402kΩ</v>
      </c>
      <c r="H97" s="88"/>
    </row>
    <row r="98" spans="1:8" ht="15.75" customHeight="1" x14ac:dyDescent="0.3">
      <c r="A98" s="306" t="s">
        <v>517</v>
      </c>
      <c r="B98" s="307">
        <f>D97*Vuvlo_on/(VINuvlo_on-Vuvlo_on+Ruvlo1*Iuvlo1)</f>
        <v>14.707317073170731</v>
      </c>
      <c r="C98" s="55" t="s">
        <v>493</v>
      </c>
      <c r="D98">
        <f>'Standard Value Calculator'!S17</f>
        <v>14.700000000000001</v>
      </c>
      <c r="E98" s="55" t="s">
        <v>493</v>
      </c>
      <c r="F98" s="54">
        <f>IF(F97="N/A","N/A",D98)</f>
        <v>14.700000000000001</v>
      </c>
      <c r="G98" s="54" t="str">
        <f>IF(G97="N/A","N/A",D98&amp;"kΩ")</f>
        <v>14.7kΩ</v>
      </c>
      <c r="H98" s="88"/>
    </row>
    <row r="99" spans="1:8" ht="15.75" customHeight="1" x14ac:dyDescent="0.2">
      <c r="A99" s="306"/>
      <c r="B99" s="307"/>
      <c r="C99" s="55"/>
      <c r="E99" s="55"/>
      <c r="H99" s="88"/>
    </row>
    <row r="100" spans="1:8" ht="15.75" customHeight="1" x14ac:dyDescent="0.3">
      <c r="A100" s="306" t="s">
        <v>494</v>
      </c>
      <c r="B100" s="307">
        <f>(D97+D98)/D98*Vuvlo_on-Iuvlo1*D97</f>
        <v>34.01632653061224</v>
      </c>
      <c r="C100" s="55"/>
      <c r="E100" s="55"/>
      <c r="H100" s="88"/>
    </row>
    <row r="101" spans="1:8" ht="15.75" customHeight="1" x14ac:dyDescent="0.3">
      <c r="A101" s="306" t="s">
        <v>495</v>
      </c>
      <c r="B101" s="307">
        <f>(D97+D98)/D98*Vuvlo_off-Iuvlo2*D97</f>
        <v>29.99632653061224</v>
      </c>
      <c r="C101" s="55"/>
      <c r="E101" s="55"/>
      <c r="H101" s="88"/>
    </row>
    <row r="102" spans="1:8" ht="15.75" customHeight="1" x14ac:dyDescent="0.2">
      <c r="A102" s="306"/>
      <c r="B102" s="307"/>
      <c r="C102" s="55"/>
      <c r="E102" s="55"/>
      <c r="H102" s="88"/>
    </row>
    <row r="103" spans="1:8" ht="15.75" customHeight="1" x14ac:dyDescent="0.2">
      <c r="A103" s="306"/>
      <c r="B103" s="54"/>
      <c r="H103" s="88"/>
    </row>
    <row r="104" spans="1:8" ht="15.75" customHeight="1" x14ac:dyDescent="0.2">
      <c r="A104" s="306" t="s">
        <v>488</v>
      </c>
      <c r="B104" s="54">
        <v>1.2</v>
      </c>
      <c r="H104" s="88"/>
    </row>
    <row r="105" spans="1:8" ht="15.75" customHeight="1" x14ac:dyDescent="0.2">
      <c r="A105" s="306" t="s">
        <v>489</v>
      </c>
      <c r="B105" s="54">
        <v>1.2</v>
      </c>
      <c r="H105" s="88"/>
    </row>
    <row r="106" spans="1:8" ht="15.75" customHeight="1" x14ac:dyDescent="0.2">
      <c r="A106" s="306" t="s">
        <v>489</v>
      </c>
      <c r="B106" s="54">
        <f>B104-B105</f>
        <v>0</v>
      </c>
      <c r="H106" s="88"/>
    </row>
    <row r="107" spans="1:8" ht="15.75" customHeight="1" x14ac:dyDescent="0.2">
      <c r="A107" s="306" t="s">
        <v>492</v>
      </c>
      <c r="B107" s="54">
        <v>0</v>
      </c>
      <c r="H107" s="88"/>
    </row>
    <row r="108" spans="1:8" ht="15.75" customHeight="1" x14ac:dyDescent="0.2">
      <c r="A108" s="306" t="s">
        <v>490</v>
      </c>
      <c r="B108" s="54">
        <v>0.01</v>
      </c>
      <c r="H108" s="88"/>
    </row>
    <row r="109" spans="1:8" ht="15.75" customHeight="1" x14ac:dyDescent="0.2">
      <c r="A109" s="306" t="s">
        <v>491</v>
      </c>
      <c r="B109" s="54">
        <f>B108-B107</f>
        <v>0.01</v>
      </c>
      <c r="H109" s="88"/>
    </row>
    <row r="110" spans="1:8" ht="15.75" customHeight="1" x14ac:dyDescent="0.2">
      <c r="A110" s="306"/>
      <c r="B110" s="54"/>
      <c r="H110" s="88"/>
    </row>
    <row r="111" spans="1:8" ht="15.75" customHeight="1" x14ac:dyDescent="0.3">
      <c r="A111" s="87" t="s">
        <v>331</v>
      </c>
      <c r="B111" s="54"/>
      <c r="C111" s="309" t="s">
        <v>208</v>
      </c>
      <c r="H111" s="88"/>
    </row>
    <row r="112" spans="1:8" ht="15.75" customHeight="1" x14ac:dyDescent="0.3">
      <c r="A112" s="87" t="s">
        <v>332</v>
      </c>
      <c r="B112" s="54"/>
      <c r="C112" s="309" t="s">
        <v>208</v>
      </c>
      <c r="H112" s="88"/>
    </row>
    <row r="113" spans="1:8" ht="15.75" customHeight="1" x14ac:dyDescent="0.2">
      <c r="A113" s="87" t="s">
        <v>306</v>
      </c>
      <c r="B113" s="54"/>
      <c r="C113" s="309" t="s">
        <v>208</v>
      </c>
      <c r="H113" s="88"/>
    </row>
    <row r="114" spans="1:8" ht="15.75" customHeight="1" x14ac:dyDescent="0.2">
      <c r="A114" s="87" t="s">
        <v>429</v>
      </c>
      <c r="B114" s="54" t="e">
        <f>80700/(Totp+273)*398</f>
        <v>#NAME?</v>
      </c>
      <c r="C114" s="309" t="s">
        <v>208</v>
      </c>
      <c r="H114" s="88"/>
    </row>
    <row r="115" spans="1:8" ht="15.75" customHeight="1" x14ac:dyDescent="0.2">
      <c r="A115" s="87"/>
      <c r="B115" s="54"/>
      <c r="H115" s="88"/>
    </row>
    <row r="116" spans="1:8" x14ac:dyDescent="0.2">
      <c r="A116" s="87"/>
      <c r="B116" s="54"/>
      <c r="H116" s="88"/>
    </row>
    <row r="117" spans="1:8" x14ac:dyDescent="0.2">
      <c r="A117" s="87" t="s">
        <v>333</v>
      </c>
      <c r="B117" s="54">
        <v>100</v>
      </c>
      <c r="C117" s="171" t="s">
        <v>53</v>
      </c>
      <c r="H117" s="88"/>
    </row>
    <row r="118" spans="1:8" x14ac:dyDescent="0.2">
      <c r="A118" s="87"/>
      <c r="B118" s="54"/>
      <c r="H118" s="88"/>
    </row>
    <row r="119" spans="1:8" ht="13.5" thickBot="1" x14ac:dyDescent="0.25">
      <c r="A119" s="91"/>
      <c r="B119" s="111"/>
      <c r="C119" s="92"/>
      <c r="D119" s="92"/>
      <c r="E119" s="92"/>
      <c r="F119" s="92"/>
      <c r="G119" s="92"/>
      <c r="H119" s="93"/>
    </row>
    <row r="120" spans="1:8" x14ac:dyDescent="0.2">
      <c r="B120" s="54"/>
    </row>
    <row r="121" spans="1:8" ht="16.5" thickBot="1" x14ac:dyDescent="0.3">
      <c r="A121" s="133" t="s">
        <v>330</v>
      </c>
    </row>
    <row r="122" spans="1:8" x14ac:dyDescent="0.2">
      <c r="A122" s="134" t="s">
        <v>81</v>
      </c>
      <c r="B122" s="356">
        <v>10000</v>
      </c>
      <c r="C122" s="94" t="s">
        <v>49</v>
      </c>
      <c r="D122" s="174" t="s">
        <v>432</v>
      </c>
      <c r="E122" s="94"/>
      <c r="F122" s="94"/>
      <c r="G122" s="94"/>
      <c r="H122" s="95"/>
    </row>
    <row r="123" spans="1:8" x14ac:dyDescent="0.2">
      <c r="A123" s="87" t="s">
        <v>82</v>
      </c>
      <c r="B123" s="90">
        <v>5000000</v>
      </c>
      <c r="C123" t="s">
        <v>10</v>
      </c>
      <c r="D123" s="171" t="s">
        <v>433</v>
      </c>
      <c r="H123" s="88"/>
    </row>
    <row r="124" spans="1:8" x14ac:dyDescent="0.2">
      <c r="A124" s="306" t="s">
        <v>545</v>
      </c>
      <c r="B124" s="140">
        <f>'Design Regulator'!E61*1000</f>
        <v>40000</v>
      </c>
      <c r="C124" s="171" t="s">
        <v>10</v>
      </c>
      <c r="H124" s="88"/>
    </row>
    <row r="125" spans="1:8" x14ac:dyDescent="0.2">
      <c r="A125" s="87" t="s">
        <v>51</v>
      </c>
      <c r="B125" s="141">
        <f>Fcross/Fo/15</f>
        <v>0.22302397669062587</v>
      </c>
      <c r="C125" t="s">
        <v>49</v>
      </c>
      <c r="D125" s="171" t="s">
        <v>439</v>
      </c>
      <c r="H125" s="88">
        <v>1</v>
      </c>
    </row>
    <row r="126" spans="1:8" x14ac:dyDescent="0.2">
      <c r="A126" s="87" t="s">
        <v>52</v>
      </c>
      <c r="B126" s="112">
        <f>'Design Regulator'!E63*1000</f>
        <v>10500</v>
      </c>
      <c r="C126" s="309" t="s">
        <v>208</v>
      </c>
      <c r="D126" t="s">
        <v>260</v>
      </c>
      <c r="H126" s="88">
        <v>1</v>
      </c>
    </row>
    <row r="127" spans="1:8" x14ac:dyDescent="0.2">
      <c r="A127" s="99" t="s">
        <v>77</v>
      </c>
      <c r="B127" s="358">
        <f>IF(Vout=Vref,100000000,Vref/((Vout-Vref)/_Rfb1))</f>
        <v>2000</v>
      </c>
      <c r="C127" s="309" t="s">
        <v>208</v>
      </c>
      <c r="D127" s="171" t="s">
        <v>706</v>
      </c>
      <c r="H127" s="88"/>
    </row>
    <row r="128" spans="1:8" x14ac:dyDescent="0.2">
      <c r="A128" s="87" t="s">
        <v>271</v>
      </c>
      <c r="B128" s="103">
        <f>IF(Vout=Vref,"N/A",'Standard Value Calculator'!S11)</f>
        <v>2000</v>
      </c>
      <c r="C128" s="309" t="s">
        <v>208</v>
      </c>
      <c r="D128" s="171" t="s">
        <v>705</v>
      </c>
      <c r="H128" s="88"/>
    </row>
    <row r="129" spans="1:8" x14ac:dyDescent="0.2">
      <c r="A129" s="388" t="s">
        <v>697</v>
      </c>
      <c r="B129" s="462">
        <f>0.8/Rfb2_u*(Rfb2_u+_Rfb1)</f>
        <v>5</v>
      </c>
      <c r="C129" t="s">
        <v>0</v>
      </c>
      <c r="D129" s="171" t="s">
        <v>698</v>
      </c>
      <c r="H129" s="88"/>
    </row>
    <row r="130" spans="1:8" x14ac:dyDescent="0.2">
      <c r="A130" s="388"/>
      <c r="C130" s="309"/>
      <c r="D130" s="171"/>
      <c r="H130" s="88"/>
    </row>
    <row r="131" spans="1:8" x14ac:dyDescent="0.2">
      <c r="A131" s="96" t="s">
        <v>74</v>
      </c>
      <c r="B131" s="392">
        <f>Vin/15</f>
        <v>0.84</v>
      </c>
      <c r="C131" t="s">
        <v>75</v>
      </c>
      <c r="D131" s="171" t="s">
        <v>561</v>
      </c>
      <c r="H131" s="88"/>
    </row>
    <row r="132" spans="1:8" x14ac:dyDescent="0.2">
      <c r="A132" s="96" t="s">
        <v>58</v>
      </c>
      <c r="B132" s="359">
        <f>Kmidband*_Rfb1</f>
        <v>2341.7517552515715</v>
      </c>
      <c r="C132" s="309" t="s">
        <v>208</v>
      </c>
      <c r="D132" s="171" t="s">
        <v>431</v>
      </c>
      <c r="H132" s="88">
        <v>1</v>
      </c>
    </row>
    <row r="133" spans="1:8" x14ac:dyDescent="0.2">
      <c r="A133" s="96" t="s">
        <v>54</v>
      </c>
      <c r="B133" s="360">
        <f>1/(Rcea1*('Design Regulator'!E67*1000)*2*Pi)</f>
        <v>8.120150167028388E-9</v>
      </c>
      <c r="C133" t="s">
        <v>34</v>
      </c>
      <c r="D133" t="s">
        <v>261</v>
      </c>
      <c r="H133" s="88">
        <v>1</v>
      </c>
    </row>
    <row r="134" spans="1:8" x14ac:dyDescent="0.2">
      <c r="A134" s="96" t="s">
        <v>55</v>
      </c>
      <c r="B134" s="360">
        <f>1/((Rcea1*2*Pi*'Design Regulator'!E70*1000)-1/Cc1ea)</f>
        <v>5.6811788092360192E-10</v>
      </c>
      <c r="C134" t="s">
        <v>34</v>
      </c>
      <c r="H134" s="88">
        <v>1</v>
      </c>
    </row>
    <row r="135" spans="1:8" x14ac:dyDescent="0.2">
      <c r="A135" s="96" t="s">
        <v>56</v>
      </c>
      <c r="B135" s="358">
        <f>(1/(1000*2*Pi*'Design Regulator'!E69))*_Rfb1/(1/('Design Regulator'!E68*1000*2*Pi)-(1/(1000*2*Pi*'Design Regulator'!E69)))</f>
        <v>71.478475968468388</v>
      </c>
      <c r="C135" s="309" t="s">
        <v>208</v>
      </c>
      <c r="H135" s="88">
        <v>1</v>
      </c>
    </row>
    <row r="136" spans="1:8" x14ac:dyDescent="0.2">
      <c r="A136" s="96" t="s">
        <v>57</v>
      </c>
      <c r="B136" s="360">
        <f>(1/(1000*2*Pi*'Design Regulator'!E69))/Rcea2</f>
        <v>1.3990225539239734E-9</v>
      </c>
      <c r="C136" t="s">
        <v>34</v>
      </c>
      <c r="H136" s="88">
        <v>1</v>
      </c>
    </row>
    <row r="137" spans="1:8" x14ac:dyDescent="0.2">
      <c r="A137" s="96"/>
      <c r="B137" s="1"/>
      <c r="H137" s="88"/>
    </row>
    <row r="138" spans="1:8" x14ac:dyDescent="0.2">
      <c r="A138" s="99" t="s">
        <v>383</v>
      </c>
      <c r="H138" s="88"/>
    </row>
    <row r="139" spans="1:8" x14ac:dyDescent="0.2">
      <c r="A139" s="87" t="s">
        <v>59</v>
      </c>
      <c r="B139" s="166">
        <f>'Design Regulator'!D74*1000</f>
        <v>1000</v>
      </c>
      <c r="C139" s="309" t="s">
        <v>208</v>
      </c>
      <c r="H139" s="88">
        <v>2</v>
      </c>
    </row>
    <row r="140" spans="1:8" x14ac:dyDescent="0.2">
      <c r="A140" s="87" t="s">
        <v>60</v>
      </c>
      <c r="B140" s="106">
        <f>'Design Regulator'!D75*0.000000000001</f>
        <v>1.7999999999999999E-8</v>
      </c>
      <c r="C140" t="s">
        <v>34</v>
      </c>
      <c r="H140" s="88">
        <v>2</v>
      </c>
    </row>
    <row r="141" spans="1:8" x14ac:dyDescent="0.2">
      <c r="A141" s="87" t="s">
        <v>61</v>
      </c>
      <c r="B141" s="106">
        <f>'Design Regulator'!D76*0.000000000001</f>
        <v>1.0000000000000001E-9</v>
      </c>
      <c r="C141" t="s">
        <v>34</v>
      </c>
      <c r="H141" s="88">
        <v>2</v>
      </c>
    </row>
    <row r="142" spans="1:8" x14ac:dyDescent="0.2">
      <c r="A142" s="87" t="s">
        <v>62</v>
      </c>
      <c r="B142" s="166">
        <f>'Design Regulator'!D77</f>
        <v>22</v>
      </c>
      <c r="C142" s="309" t="s">
        <v>208</v>
      </c>
      <c r="H142" s="88">
        <v>2</v>
      </c>
    </row>
    <row r="143" spans="1:8" x14ac:dyDescent="0.2">
      <c r="A143" s="87" t="s">
        <v>63</v>
      </c>
      <c r="B143" s="106">
        <f>'Design Regulator'!D78*0.000000000001</f>
        <v>1.8E-9</v>
      </c>
      <c r="C143" t="s">
        <v>34</v>
      </c>
      <c r="H143" s="88">
        <v>2</v>
      </c>
    </row>
    <row r="144" spans="1:8" x14ac:dyDescent="0.2">
      <c r="A144" s="87"/>
      <c r="H144" s="88"/>
    </row>
    <row r="145" spans="1:8" x14ac:dyDescent="0.2">
      <c r="A145" s="99" t="s">
        <v>344</v>
      </c>
      <c r="D145">
        <f>Cout</f>
        <v>1E-4</v>
      </c>
      <c r="E145">
        <f>CoutEsr</f>
        <v>1E-3</v>
      </c>
      <c r="H145" s="88"/>
    </row>
    <row r="146" spans="1:8" x14ac:dyDescent="0.2">
      <c r="A146" s="96" t="s">
        <v>39</v>
      </c>
      <c r="B146" s="421">
        <f>SQRT((Rfets+Rdcr+Ro)/(Cout*Lout2*(CoutEsr+Ro)))/(2*Pi)</f>
        <v>11956.860900053853</v>
      </c>
      <c r="C146" t="s">
        <v>10</v>
      </c>
      <c r="D146" t="s">
        <v>40</v>
      </c>
      <c r="H146" s="88"/>
    </row>
    <row r="147" spans="1:8" x14ac:dyDescent="0.2">
      <c r="A147" s="96" t="s">
        <v>42</v>
      </c>
      <c r="B147" s="422">
        <f>(Rfets+Rdcr+Ro)/(Lout2+Cout*(Rdcr+Rfets)*(CoutEsr+Ro)+Cout*CoutEsr*Ro)/(Fo*2*Pi)</f>
        <v>1.7401606086701307</v>
      </c>
      <c r="C147" t="s">
        <v>49</v>
      </c>
      <c r="D147" t="s">
        <v>43</v>
      </c>
      <c r="H147" s="88"/>
    </row>
    <row r="148" spans="1:8" x14ac:dyDescent="0.2">
      <c r="A148" s="96" t="s">
        <v>41</v>
      </c>
      <c r="B148" s="421">
        <f>1/(2*Pi*Cout*CoutEsr)</f>
        <v>1591549.4327375637</v>
      </c>
      <c r="C148" t="s">
        <v>10</v>
      </c>
      <c r="D148" s="171" t="s">
        <v>434</v>
      </c>
      <c r="H148" s="88"/>
    </row>
    <row r="149" spans="1:8" x14ac:dyDescent="0.2">
      <c r="A149" s="96" t="s">
        <v>64</v>
      </c>
      <c r="B149" s="421">
        <f>1/(2*Pi*Rcea1_u*Cc1ea_u)</f>
        <v>8841.9412929864666</v>
      </c>
      <c r="C149" t="s">
        <v>10</v>
      </c>
      <c r="D149" s="171" t="s">
        <v>547</v>
      </c>
      <c r="H149" s="88"/>
    </row>
    <row r="150" spans="1:8" x14ac:dyDescent="0.2">
      <c r="A150" s="96" t="s">
        <v>65</v>
      </c>
      <c r="B150" s="421">
        <f>1/(2*Pi*Cc3ea_u*(_Rfb1+Rcea2_u))</f>
        <v>8403.2895770637388</v>
      </c>
      <c r="C150" t="s">
        <v>10</v>
      </c>
      <c r="D150" s="171" t="s">
        <v>547</v>
      </c>
      <c r="H150" s="88"/>
    </row>
    <row r="151" spans="1:8" x14ac:dyDescent="0.2">
      <c r="A151" s="96" t="s">
        <v>66</v>
      </c>
      <c r="B151" s="421">
        <f>1/(2*Pi*Rcea2_u*Cc3ea_u)</f>
        <v>4019064.2240847568</v>
      </c>
      <c r="C151" t="s">
        <v>10</v>
      </c>
      <c r="D151" t="s">
        <v>263</v>
      </c>
      <c r="H151" s="88"/>
    </row>
    <row r="152" spans="1:8" x14ac:dyDescent="0.2">
      <c r="A152" s="96" t="s">
        <v>67</v>
      </c>
      <c r="B152" s="421">
        <f>1/(2*Pi*Rcea1_u*(Cc1ea_u*Cc2ea_u/(Cc1ea_u+Cc2ea_u)))</f>
        <v>167996.88456674287</v>
      </c>
      <c r="C152" t="s">
        <v>10</v>
      </c>
      <c r="D152" t="s">
        <v>262</v>
      </c>
      <c r="H152" s="88"/>
    </row>
    <row r="153" spans="1:8" x14ac:dyDescent="0.2">
      <c r="A153" s="96" t="s">
        <v>80</v>
      </c>
      <c r="B153" s="422">
        <f>Vout/(Iout+Vref/_Rfb2)</f>
        <v>0.249995000099998</v>
      </c>
      <c r="D153" s="171" t="s">
        <v>546</v>
      </c>
      <c r="H153" s="88"/>
    </row>
    <row r="154" spans="1:8" x14ac:dyDescent="0.2">
      <c r="A154" s="96" t="s">
        <v>70</v>
      </c>
      <c r="B154" s="422">
        <v>3.1415926500000002</v>
      </c>
      <c r="D154" t="s">
        <v>264</v>
      </c>
      <c r="H154" s="88"/>
    </row>
    <row r="155" spans="1:8" x14ac:dyDescent="0.2">
      <c r="A155" s="96" t="s">
        <v>328</v>
      </c>
      <c r="B155" s="1"/>
      <c r="H155" s="88"/>
    </row>
    <row r="156" spans="1:8" x14ac:dyDescent="0.2">
      <c r="A156" s="96" t="s">
        <v>337</v>
      </c>
      <c r="B156" s="1">
        <v>0</v>
      </c>
      <c r="C156" s="309" t="s">
        <v>208</v>
      </c>
      <c r="D156" s="171" t="s">
        <v>542</v>
      </c>
      <c r="G156">
        <f>_Don2*RdsonTop+Doff2*RdsonBot+B161*Vin^2*Fsw/2/(((Iripple1/SQRT(3))^2))</f>
        <v>1.2528902144671198E-2</v>
      </c>
      <c r="H156" s="88"/>
    </row>
    <row r="157" spans="1:8" x14ac:dyDescent="0.2">
      <c r="A157" s="87"/>
      <c r="H157" s="88"/>
    </row>
    <row r="158" spans="1:8" x14ac:dyDescent="0.2">
      <c r="A158" s="96" t="s">
        <v>340</v>
      </c>
      <c r="B158" s="2">
        <f>0.00000002*Fsw*0.6*4/Iripple1</f>
        <v>1.7983744464609805E-3</v>
      </c>
      <c r="D158" s="2"/>
      <c r="H158" s="88"/>
    </row>
    <row r="159" spans="1:8" x14ac:dyDescent="0.2">
      <c r="A159" s="96" t="s">
        <v>339</v>
      </c>
      <c r="B159" s="2">
        <f>_Don2*RdsonTop+Doff2*RdsonBot</f>
        <v>6.0000000000000001E-3</v>
      </c>
      <c r="D159" s="2"/>
      <c r="H159" s="88"/>
    </row>
    <row r="160" spans="1:8" x14ac:dyDescent="0.2">
      <c r="A160" s="96" t="s">
        <v>338</v>
      </c>
      <c r="B160" s="2">
        <f>B161*Vin^2*Fsw/2/(((Iripple1/SQRT(3))^2))</f>
        <v>6.5289021446711983E-3</v>
      </c>
      <c r="D160" s="2"/>
      <c r="H160" s="88"/>
    </row>
    <row r="161" spans="1:8" ht="13.5" thickBot="1" x14ac:dyDescent="0.25">
      <c r="A161" s="108" t="s">
        <v>341</v>
      </c>
      <c r="B161" s="113">
        <v>5.0000000000000001E-9</v>
      </c>
      <c r="C161" s="92"/>
      <c r="D161" s="113"/>
      <c r="E161" s="92"/>
      <c r="F161" s="92"/>
      <c r="G161" s="92"/>
      <c r="H161" s="93"/>
    </row>
    <row r="162" spans="1:8" x14ac:dyDescent="0.2">
      <c r="A162" s="1"/>
      <c r="B162" s="60"/>
      <c r="D162" s="60"/>
    </row>
    <row r="163" spans="1:8" x14ac:dyDescent="0.2">
      <c r="A163" s="1"/>
      <c r="B163" s="60"/>
      <c r="D163" s="60"/>
    </row>
    <row r="164" spans="1:8" ht="16.5" thickBot="1" x14ac:dyDescent="0.3">
      <c r="A164" s="139" t="s">
        <v>362</v>
      </c>
    </row>
    <row r="165" spans="1:8" x14ac:dyDescent="0.2">
      <c r="A165" s="134"/>
      <c r="B165" s="94"/>
      <c r="C165" s="94"/>
      <c r="D165" s="94"/>
      <c r="E165" s="94"/>
      <c r="F165" s="94"/>
      <c r="G165" s="94"/>
      <c r="H165" s="95"/>
    </row>
    <row r="166" spans="1:8" x14ac:dyDescent="0.2">
      <c r="A166" s="99" t="s">
        <v>125</v>
      </c>
      <c r="H166" s="88"/>
    </row>
    <row r="167" spans="1:8" x14ac:dyDescent="0.2">
      <c r="A167" s="87" t="s">
        <v>156</v>
      </c>
      <c r="B167" s="39">
        <v>25</v>
      </c>
      <c r="D167" t="s">
        <v>175</v>
      </c>
      <c r="H167" s="88"/>
    </row>
    <row r="168" spans="1:8" ht="15.75" x14ac:dyDescent="0.25">
      <c r="A168" s="478" t="s">
        <v>128</v>
      </c>
      <c r="H168" s="88"/>
    </row>
    <row r="169" spans="1:8" x14ac:dyDescent="0.2">
      <c r="A169" s="87" t="s">
        <v>155</v>
      </c>
      <c r="B169" s="90">
        <f>4000/1000000</f>
        <v>4.0000000000000001E-3</v>
      </c>
      <c r="C169" s="171" t="s">
        <v>562</v>
      </c>
      <c r="D169" t="s">
        <v>176</v>
      </c>
      <c r="H169" s="88"/>
    </row>
    <row r="170" spans="1:8" x14ac:dyDescent="0.2">
      <c r="A170" s="87" t="s">
        <v>250</v>
      </c>
      <c r="B170" s="90">
        <v>20</v>
      </c>
      <c r="C170" s="171" t="s">
        <v>381</v>
      </c>
      <c r="D170" t="s">
        <v>251</v>
      </c>
      <c r="H170" s="88"/>
    </row>
    <row r="171" spans="1:8" x14ac:dyDescent="0.2">
      <c r="A171" s="87" t="s">
        <v>159</v>
      </c>
      <c r="B171" s="39">
        <f>RCinEsr</f>
        <v>2E-3</v>
      </c>
      <c r="C171" s="309" t="s">
        <v>208</v>
      </c>
      <c r="D171" t="s">
        <v>178</v>
      </c>
      <c r="H171" s="88"/>
    </row>
    <row r="172" spans="1:8" x14ac:dyDescent="0.2">
      <c r="A172" s="96" t="s">
        <v>268</v>
      </c>
      <c r="H172" s="88"/>
    </row>
    <row r="173" spans="1:8" x14ac:dyDescent="0.2">
      <c r="A173" s="306" t="s">
        <v>618</v>
      </c>
      <c r="B173" s="90">
        <v>7.5</v>
      </c>
      <c r="H173" s="88"/>
    </row>
    <row r="174" spans="1:8" x14ac:dyDescent="0.2">
      <c r="A174" s="99" t="s">
        <v>202</v>
      </c>
      <c r="H174" s="88"/>
    </row>
    <row r="175" spans="1:8" x14ac:dyDescent="0.2">
      <c r="A175" s="87" t="s">
        <v>132</v>
      </c>
      <c r="B175" s="90">
        <v>1</v>
      </c>
      <c r="C175" s="309" t="s">
        <v>208</v>
      </c>
      <c r="D175" t="s">
        <v>204</v>
      </c>
      <c r="H175" s="88"/>
    </row>
    <row r="176" spans="1:8" x14ac:dyDescent="0.2">
      <c r="A176" s="87" t="s">
        <v>239</v>
      </c>
      <c r="B176" s="90">
        <v>0.9</v>
      </c>
      <c r="C176" s="309" t="s">
        <v>208</v>
      </c>
      <c r="D176" t="s">
        <v>205</v>
      </c>
      <c r="H176" s="88"/>
    </row>
    <row r="177" spans="1:8" x14ac:dyDescent="0.2">
      <c r="A177" s="99" t="s">
        <v>203</v>
      </c>
      <c r="H177" s="88"/>
    </row>
    <row r="178" spans="1:8" x14ac:dyDescent="0.2">
      <c r="A178" s="87" t="s">
        <v>131</v>
      </c>
      <c r="B178" s="158">
        <v>1</v>
      </c>
      <c r="C178" s="309" t="s">
        <v>208</v>
      </c>
      <c r="D178" t="s">
        <v>204</v>
      </c>
      <c r="H178" s="88"/>
    </row>
    <row r="179" spans="1:8" x14ac:dyDescent="0.2">
      <c r="A179" s="87" t="s">
        <v>238</v>
      </c>
      <c r="B179" s="90">
        <v>0.9</v>
      </c>
      <c r="C179" s="309" t="s">
        <v>208</v>
      </c>
      <c r="D179" t="s">
        <v>205</v>
      </c>
      <c r="H179" s="88"/>
    </row>
    <row r="180" spans="1:8" x14ac:dyDescent="0.2">
      <c r="A180" s="99" t="s">
        <v>133</v>
      </c>
      <c r="D180" t="s">
        <v>199</v>
      </c>
      <c r="H180" s="88"/>
    </row>
    <row r="181" spans="1:8" x14ac:dyDescent="0.2">
      <c r="A181" s="87" t="s">
        <v>133</v>
      </c>
      <c r="B181" s="102">
        <v>2.9999999999999997E-8</v>
      </c>
      <c r="C181" t="s">
        <v>265</v>
      </c>
      <c r="D181" t="s">
        <v>179</v>
      </c>
      <c r="H181" s="88"/>
    </row>
    <row r="182" spans="1:8" x14ac:dyDescent="0.2">
      <c r="A182" s="99" t="s">
        <v>119</v>
      </c>
      <c r="H182" s="88"/>
    </row>
    <row r="183" spans="1:8" x14ac:dyDescent="0.2">
      <c r="A183" s="87" t="s">
        <v>249</v>
      </c>
      <c r="B183" s="90">
        <v>2E-3</v>
      </c>
      <c r="C183" t="s">
        <v>2</v>
      </c>
      <c r="D183" t="s">
        <v>259</v>
      </c>
      <c r="H183" s="88"/>
    </row>
    <row r="184" spans="1:8" ht="15.75" x14ac:dyDescent="0.25">
      <c r="A184" s="478" t="s">
        <v>129</v>
      </c>
      <c r="H184" s="88"/>
    </row>
    <row r="185" spans="1:8" x14ac:dyDescent="0.2">
      <c r="A185" s="87" t="s">
        <v>142</v>
      </c>
      <c r="B185" s="39">
        <f>'Design Regulator'!E85/1000</f>
        <v>6.0000000000000001E-3</v>
      </c>
      <c r="C185" s="309" t="s">
        <v>208</v>
      </c>
      <c r="D185" t="s">
        <v>194</v>
      </c>
      <c r="H185" s="88"/>
    </row>
    <row r="186" spans="1:8" x14ac:dyDescent="0.2">
      <c r="A186" s="87" t="s">
        <v>152</v>
      </c>
      <c r="B186" s="90">
        <f>4000/1000000</f>
        <v>4.0000000000000001E-3</v>
      </c>
      <c r="C186" s="171" t="s">
        <v>562</v>
      </c>
      <c r="D186" t="s">
        <v>193</v>
      </c>
      <c r="H186" s="88"/>
    </row>
    <row r="187" spans="1:8" x14ac:dyDescent="0.2">
      <c r="A187" s="87" t="s">
        <v>141</v>
      </c>
      <c r="B187" s="114">
        <f>'Design Regulator'!E86/1000000000</f>
        <v>1.15E-8</v>
      </c>
      <c r="C187" t="s">
        <v>269</v>
      </c>
      <c r="D187" t="s">
        <v>180</v>
      </c>
      <c r="H187" s="88"/>
    </row>
    <row r="188" spans="1:8" x14ac:dyDescent="0.2">
      <c r="A188" s="87" t="s">
        <v>218</v>
      </c>
      <c r="B188" s="114">
        <f>'Design Regulator'!E87/1000000000</f>
        <v>2.8999999999999999E-9</v>
      </c>
      <c r="C188" t="s">
        <v>269</v>
      </c>
      <c r="D188" t="s">
        <v>219</v>
      </c>
      <c r="H188" s="88"/>
    </row>
    <row r="189" spans="1:8" x14ac:dyDescent="0.2">
      <c r="A189" s="87" t="s">
        <v>236</v>
      </c>
      <c r="B189" s="114">
        <f>'Design Regulator'!E88/1000000000</f>
        <v>3.2999999999999998E-9</v>
      </c>
      <c r="C189" t="s">
        <v>269</v>
      </c>
      <c r="D189" t="s">
        <v>721</v>
      </c>
      <c r="H189" s="88"/>
    </row>
    <row r="190" spans="1:8" x14ac:dyDescent="0.2">
      <c r="A190" s="389" t="s">
        <v>728</v>
      </c>
      <c r="B190" s="114">
        <f>'Design Regulator'!E89/1000000000000</f>
        <v>2.8000000000000002E-10</v>
      </c>
      <c r="C190" t="s">
        <v>34</v>
      </c>
      <c r="D190" t="s">
        <v>729</v>
      </c>
      <c r="H190" s="88"/>
    </row>
    <row r="191" spans="1:8" x14ac:dyDescent="0.2">
      <c r="A191" s="87" t="s">
        <v>168</v>
      </c>
      <c r="B191" s="39">
        <f>'Design Regulator'!E90</f>
        <v>1.5</v>
      </c>
      <c r="C191" s="309" t="s">
        <v>208</v>
      </c>
      <c r="D191" t="s">
        <v>730</v>
      </c>
      <c r="H191" s="88"/>
    </row>
    <row r="192" spans="1:8" x14ac:dyDescent="0.2">
      <c r="A192" s="87" t="s">
        <v>140</v>
      </c>
      <c r="B192" s="39">
        <f>'Design Regulator'!E91</f>
        <v>100</v>
      </c>
      <c r="C192" t="s">
        <v>137</v>
      </c>
      <c r="D192" t="s">
        <v>182</v>
      </c>
      <c r="H192" s="88"/>
    </row>
    <row r="193" spans="1:10" x14ac:dyDescent="0.2">
      <c r="A193" s="87" t="s">
        <v>170</v>
      </c>
      <c r="B193" s="39">
        <f>'Design Regulator'!E92</f>
        <v>3.2</v>
      </c>
      <c r="C193" t="s">
        <v>0</v>
      </c>
      <c r="D193" t="s">
        <v>183</v>
      </c>
      <c r="H193" s="88"/>
    </row>
    <row r="194" spans="1:10" x14ac:dyDescent="0.2">
      <c r="A194" s="87" t="s">
        <v>235</v>
      </c>
      <c r="B194" s="103">
        <f>VthTop+Iout/GmTop</f>
        <v>3.4000000000000004</v>
      </c>
      <c r="C194" t="s">
        <v>0</v>
      </c>
      <c r="D194" t="s">
        <v>266</v>
      </c>
      <c r="H194" s="88"/>
    </row>
    <row r="195" spans="1:10" x14ac:dyDescent="0.2">
      <c r="A195" s="87" t="s">
        <v>378</v>
      </c>
      <c r="B195" s="39">
        <f>'Design Regulator'!E93</f>
        <v>0.8</v>
      </c>
      <c r="C195" t="s">
        <v>0</v>
      </c>
      <c r="D195" t="s">
        <v>380</v>
      </c>
      <c r="H195" s="88"/>
    </row>
    <row r="196" spans="1:10" x14ac:dyDescent="0.2">
      <c r="A196" s="87" t="s">
        <v>161</v>
      </c>
      <c r="B196" s="39">
        <f>'Design Regulator'!E94</f>
        <v>50</v>
      </c>
      <c r="C196" s="171" t="s">
        <v>381</v>
      </c>
      <c r="D196" t="s">
        <v>184</v>
      </c>
      <c r="H196" s="88"/>
    </row>
    <row r="197" spans="1:10" ht="15.75" x14ac:dyDescent="0.25">
      <c r="A197" s="478" t="s">
        <v>130</v>
      </c>
      <c r="H197" s="88"/>
    </row>
    <row r="198" spans="1:10" x14ac:dyDescent="0.2">
      <c r="A198" s="87" t="s">
        <v>139</v>
      </c>
      <c r="B198" s="39">
        <f>'Design Regulator'!E97/1000</f>
        <v>6.0000000000000001E-3</v>
      </c>
      <c r="C198" s="309" t="s">
        <v>208</v>
      </c>
      <c r="D198" t="s">
        <v>192</v>
      </c>
      <c r="H198" s="88"/>
    </row>
    <row r="199" spans="1:10" x14ac:dyDescent="0.2">
      <c r="A199" s="87" t="s">
        <v>153</v>
      </c>
      <c r="B199" s="39">
        <f>4000/1000000</f>
        <v>4.0000000000000001E-3</v>
      </c>
      <c r="C199" s="171" t="s">
        <v>562</v>
      </c>
      <c r="D199" t="s">
        <v>185</v>
      </c>
      <c r="H199" s="88"/>
    </row>
    <row r="200" spans="1:10" x14ac:dyDescent="0.2">
      <c r="A200" s="87" t="s">
        <v>138</v>
      </c>
      <c r="B200" s="114">
        <f>'Design Regulator'!E98/1000000000</f>
        <v>1.15E-8</v>
      </c>
      <c r="C200" t="s">
        <v>269</v>
      </c>
      <c r="D200" s="171" t="s">
        <v>724</v>
      </c>
      <c r="H200" s="88"/>
      <c r="J200">
        <f>RGateTop</f>
        <v>1.5</v>
      </c>
    </row>
    <row r="201" spans="1:10" x14ac:dyDescent="0.2">
      <c r="A201" s="389" t="s">
        <v>722</v>
      </c>
      <c r="B201" s="114">
        <f>'Design Regulator'!E99/1000000000</f>
        <v>2E-8</v>
      </c>
      <c r="C201" t="s">
        <v>269</v>
      </c>
      <c r="D201" s="171" t="s">
        <v>723</v>
      </c>
      <c r="H201" s="88"/>
    </row>
    <row r="202" spans="1:10" x14ac:dyDescent="0.2">
      <c r="A202" s="389" t="s">
        <v>727</v>
      </c>
      <c r="B202" s="114">
        <f>'Design Regulator'!E100/1000000000000</f>
        <v>2.8000000000000002E-10</v>
      </c>
      <c r="C202" t="s">
        <v>34</v>
      </c>
      <c r="D202" s="171" t="s">
        <v>726</v>
      </c>
      <c r="H202" s="88"/>
    </row>
    <row r="203" spans="1:10" x14ac:dyDescent="0.2">
      <c r="A203" s="87" t="s">
        <v>169</v>
      </c>
      <c r="B203" s="39">
        <v>1</v>
      </c>
      <c r="C203" s="309" t="s">
        <v>208</v>
      </c>
      <c r="D203" t="s">
        <v>181</v>
      </c>
      <c r="H203" s="88"/>
    </row>
    <row r="204" spans="1:10" x14ac:dyDescent="0.2">
      <c r="A204" s="87" t="s">
        <v>144</v>
      </c>
      <c r="B204" s="39">
        <f>'Design Regulator'!E101</f>
        <v>0.9</v>
      </c>
      <c r="C204" t="s">
        <v>0</v>
      </c>
      <c r="D204" t="s">
        <v>186</v>
      </c>
      <c r="H204" s="88"/>
    </row>
    <row r="205" spans="1:10" x14ac:dyDescent="0.2">
      <c r="A205" s="87" t="s">
        <v>145</v>
      </c>
      <c r="B205" s="114">
        <f>'Design Regulator'!E102/1000000000</f>
        <v>6.2999999999999995E-8</v>
      </c>
      <c r="C205" t="s">
        <v>269</v>
      </c>
      <c r="D205" t="s">
        <v>196</v>
      </c>
      <c r="H205" s="88"/>
    </row>
    <row r="206" spans="1:10" x14ac:dyDescent="0.2">
      <c r="A206" s="87" t="s">
        <v>146</v>
      </c>
      <c r="B206" s="114">
        <v>4.0000000000000001E-8</v>
      </c>
      <c r="C206" t="s">
        <v>265</v>
      </c>
      <c r="D206" t="s">
        <v>187</v>
      </c>
      <c r="H206" s="88"/>
    </row>
    <row r="207" spans="1:10" x14ac:dyDescent="0.2">
      <c r="A207" s="87" t="s">
        <v>160</v>
      </c>
      <c r="B207" s="39">
        <f>'Design Regulator'!E103</f>
        <v>50</v>
      </c>
      <c r="C207" s="171" t="s">
        <v>381</v>
      </c>
      <c r="D207" t="s">
        <v>184</v>
      </c>
      <c r="H207" s="88"/>
    </row>
    <row r="208" spans="1:10" ht="15.75" x14ac:dyDescent="0.25">
      <c r="A208" s="478" t="s">
        <v>428</v>
      </c>
      <c r="B208" s="39"/>
      <c r="H208" s="88"/>
    </row>
    <row r="209" spans="1:8" x14ac:dyDescent="0.2">
      <c r="A209" s="87" t="s">
        <v>365</v>
      </c>
      <c r="B209" s="39">
        <f>'Design Regulator'!E105</f>
        <v>0</v>
      </c>
      <c r="C209" t="s">
        <v>0</v>
      </c>
      <c r="D209" t="s">
        <v>368</v>
      </c>
      <c r="H209" s="88"/>
    </row>
    <row r="210" spans="1:8" x14ac:dyDescent="0.2">
      <c r="A210" s="87" t="s">
        <v>366</v>
      </c>
      <c r="B210" s="39">
        <f>'Design Regulator'!E106/1000000000</f>
        <v>0</v>
      </c>
      <c r="C210" t="s">
        <v>269</v>
      </c>
      <c r="D210" t="s">
        <v>369</v>
      </c>
      <c r="H210" s="88"/>
    </row>
    <row r="211" spans="1:8" x14ac:dyDescent="0.2">
      <c r="A211" s="87" t="s">
        <v>367</v>
      </c>
      <c r="B211" s="39">
        <v>0</v>
      </c>
      <c r="C211" t="s">
        <v>2</v>
      </c>
      <c r="D211" t="s">
        <v>370</v>
      </c>
      <c r="H211" s="88"/>
    </row>
    <row r="212" spans="1:8" x14ac:dyDescent="0.2">
      <c r="A212" s="99" t="s">
        <v>209</v>
      </c>
      <c r="H212" s="88"/>
    </row>
    <row r="213" spans="1:8" x14ac:dyDescent="0.2">
      <c r="A213" s="87" t="s">
        <v>267</v>
      </c>
      <c r="B213" s="39">
        <v>30</v>
      </c>
      <c r="H213" s="88"/>
    </row>
    <row r="214" spans="1:8" x14ac:dyDescent="0.2">
      <c r="A214" s="99" t="s">
        <v>149</v>
      </c>
      <c r="H214" s="88"/>
    </row>
    <row r="215" spans="1:8" x14ac:dyDescent="0.2">
      <c r="A215" s="87" t="s">
        <v>129</v>
      </c>
      <c r="H215" s="88"/>
    </row>
    <row r="216" spans="1:8" x14ac:dyDescent="0.2">
      <c r="A216" s="87" t="s">
        <v>166</v>
      </c>
      <c r="B216" s="106">
        <f>(QgdTop+QgsTop/2)*(RdsonDRT+RGateTop)/(Vdd-VspTop)</f>
        <v>2.7743902439024386E-9</v>
      </c>
      <c r="C216" t="s">
        <v>265</v>
      </c>
      <c r="H216" s="88"/>
    </row>
    <row r="217" spans="1:8" x14ac:dyDescent="0.2">
      <c r="A217" s="87" t="s">
        <v>167</v>
      </c>
      <c r="B217" s="106">
        <f>(QgdTop+QgsTop/2)*(RdsonDRT+RGateTop)/(VspTop)</f>
        <v>3.3455882352941168E-9</v>
      </c>
      <c r="C217" t="s">
        <v>265</v>
      </c>
      <c r="H217" s="88"/>
    </row>
    <row r="218" spans="1:8" x14ac:dyDescent="0.2">
      <c r="A218" s="87"/>
      <c r="H218" s="88"/>
    </row>
    <row r="219" spans="1:8" x14ac:dyDescent="0.2">
      <c r="A219" s="87"/>
      <c r="H219" s="88"/>
    </row>
    <row r="220" spans="1:8" x14ac:dyDescent="0.2">
      <c r="A220" s="99" t="s">
        <v>392</v>
      </c>
      <c r="B220" s="2" t="s">
        <v>8</v>
      </c>
      <c r="C220" s="2" t="s">
        <v>148</v>
      </c>
      <c r="H220" s="88"/>
    </row>
    <row r="221" spans="1:8" x14ac:dyDescent="0.2">
      <c r="A221" s="89" t="s">
        <v>207</v>
      </c>
      <c r="B221" s="411">
        <f>'Power Calculations'!AN9</f>
        <v>6.9360000000000005E-2</v>
      </c>
      <c r="C221" s="3" t="s">
        <v>208</v>
      </c>
      <c r="H221" s="88"/>
    </row>
    <row r="222" spans="1:8" x14ac:dyDescent="0.2">
      <c r="A222" s="89" t="s">
        <v>211</v>
      </c>
      <c r="B222" s="412">
        <f>B221*ThetaJaCtrl</f>
        <v>2.0808</v>
      </c>
      <c r="C222" s="171" t="s">
        <v>442</v>
      </c>
      <c r="H222" s="88"/>
    </row>
    <row r="223" spans="1:8" x14ac:dyDescent="0.2">
      <c r="A223" s="89" t="s">
        <v>388</v>
      </c>
      <c r="B223" s="414">
        <f>(QgBot+QgTop)*Fsw+Iq</f>
        <v>7.8879999999999992E-3</v>
      </c>
      <c r="C223" t="s">
        <v>2</v>
      </c>
      <c r="H223" s="88"/>
    </row>
    <row r="224" spans="1:8" x14ac:dyDescent="0.2">
      <c r="A224" s="89" t="s">
        <v>389</v>
      </c>
      <c r="B224" s="413">
        <f>QrrBot*Fsw</f>
        <v>1.6128E-2</v>
      </c>
      <c r="C224" t="s">
        <v>2</v>
      </c>
      <c r="H224" s="88"/>
    </row>
    <row r="225" spans="1:8" x14ac:dyDescent="0.2">
      <c r="A225" s="89" t="s">
        <v>390</v>
      </c>
      <c r="B225" s="413">
        <f>C225/Vin</f>
        <v>3.0797883597883605E-4</v>
      </c>
      <c r="C225">
        <f>Deadtime*Fsw*(Ipp/2)*(VsdTop+VsdBot)</f>
        <v>3.8805333333333338E-3</v>
      </c>
      <c r="H225" s="88"/>
    </row>
    <row r="226" spans="1:8" x14ac:dyDescent="0.2">
      <c r="A226" s="89" t="s">
        <v>393</v>
      </c>
      <c r="B226" s="413">
        <f>SUM(B223:B225)</f>
        <v>2.4323978835978834E-2</v>
      </c>
      <c r="C226" t="s">
        <v>2</v>
      </c>
      <c r="H226" s="88"/>
    </row>
    <row r="227" spans="1:8" x14ac:dyDescent="0.2">
      <c r="A227" s="87"/>
      <c r="H227" s="88"/>
    </row>
    <row r="228" spans="1:8" x14ac:dyDescent="0.2">
      <c r="A228" s="87"/>
      <c r="H228" s="88"/>
    </row>
    <row r="229" spans="1:8" x14ac:dyDescent="0.2">
      <c r="A229" s="87"/>
      <c r="H229" s="88"/>
    </row>
    <row r="230" spans="1:8" x14ac:dyDescent="0.2">
      <c r="A230" s="87"/>
      <c r="H230" s="88"/>
    </row>
    <row r="231" spans="1:8" x14ac:dyDescent="0.2">
      <c r="A231" s="87"/>
      <c r="H231" s="88"/>
    </row>
    <row r="232" spans="1:8" x14ac:dyDescent="0.2">
      <c r="A232" s="99" t="s">
        <v>150</v>
      </c>
      <c r="H232" s="88"/>
    </row>
    <row r="233" spans="1:8" x14ac:dyDescent="0.2">
      <c r="A233" s="87" t="s">
        <v>206</v>
      </c>
      <c r="H233" s="88"/>
    </row>
    <row r="234" spans="1:8" ht="13.5" thickBot="1" x14ac:dyDescent="0.25">
      <c r="A234" s="91" t="s">
        <v>207</v>
      </c>
      <c r="B234" s="92"/>
      <c r="C234" s="92"/>
      <c r="D234" s="92"/>
      <c r="E234" s="92"/>
      <c r="F234" s="92"/>
      <c r="G234" s="92"/>
      <c r="H234" s="93"/>
    </row>
    <row r="235" spans="1:8" x14ac:dyDescent="0.2">
      <c r="A235" s="1"/>
      <c r="B235" s="1"/>
    </row>
    <row r="236" spans="1:8" ht="21.75" customHeight="1" thickBot="1" x14ac:dyDescent="0.3">
      <c r="A236" s="133" t="s">
        <v>382</v>
      </c>
    </row>
    <row r="237" spans="1:8" x14ac:dyDescent="0.2">
      <c r="A237" s="134" t="str">
        <f>"RC1 = "&amp;'Design Regulator'!D74&amp;"kΩ"</f>
        <v>RC1 = 1kΩ</v>
      </c>
      <c r="B237" s="94" t="str">
        <f>'Design Regulator'!D74&amp;"kΩ"</f>
        <v>1kΩ</v>
      </c>
      <c r="C237" s="94"/>
      <c r="D237" s="94"/>
      <c r="E237" s="94"/>
      <c r="F237" s="94"/>
      <c r="G237" s="94"/>
      <c r="H237" s="95"/>
    </row>
    <row r="238" spans="1:8" x14ac:dyDescent="0.2">
      <c r="A238" s="87" t="str">
        <f>"LOUT = "&amp;'Design Regulator'!E17&amp;"uH"</f>
        <v>LOUT = 1.8uH</v>
      </c>
      <c r="B238" t="str">
        <f>'Design Regulator'!E17&amp;"µH"</f>
        <v>1.8µH</v>
      </c>
      <c r="H238" s="88"/>
    </row>
    <row r="239" spans="1:8" x14ac:dyDescent="0.2">
      <c r="A239" s="87" t="str">
        <f>"Rdcr = "&amp;'Design Regulator'!E18&amp;"mΩ"</f>
        <v>Rdcr = 5mΩ</v>
      </c>
      <c r="B239" t="str">
        <f>'Design Regulator'!E18&amp;"mΩ"</f>
        <v>5mΩ</v>
      </c>
      <c r="H239" s="88"/>
    </row>
    <row r="240" spans="1:8" x14ac:dyDescent="0.2">
      <c r="A240" s="388"/>
      <c r="H240" s="88"/>
    </row>
    <row r="241" spans="1:8" x14ac:dyDescent="0.2">
      <c r="A241" s="87" t="str">
        <f>"VOUT = "&amp;'Design Regulator'!E9&amp;"V"</f>
        <v>VOUT = 5V</v>
      </c>
      <c r="B241" t="str">
        <f>'Design Regulator'!E9&amp;"V"</f>
        <v>5V</v>
      </c>
      <c r="H241" s="88"/>
    </row>
    <row r="242" spans="1:8" x14ac:dyDescent="0.2">
      <c r="A242" s="87"/>
      <c r="C242" s="173" t="str">
        <f>M44</f>
        <v>47</v>
      </c>
      <c r="D242" s="173">
        <f>ROUNDUP('Design Regulator'!$E$33/C242,0)</f>
        <v>3</v>
      </c>
      <c r="H242" s="88"/>
    </row>
    <row r="243" spans="1:8" x14ac:dyDescent="0.2">
      <c r="A243" s="87" t="str">
        <f>"COUT = "&amp;'Design Regulator'!$E$33&amp;"uF"</f>
        <v>COUT = 100uF</v>
      </c>
      <c r="B243" t="str">
        <f>'Design Regulator'!$E$33&amp;"µF"</f>
        <v>100µF</v>
      </c>
      <c r="C243" s="173" t="str">
        <f>C242</f>
        <v>47</v>
      </c>
      <c r="D243" s="173" t="str">
        <f>IF(D242=1, "",B245)</f>
        <v xml:space="preserve">3 x </v>
      </c>
      <c r="E243" t="str">
        <f>D243&amp;C243&amp;"µF"</f>
        <v>3 x 47µF</v>
      </c>
      <c r="F243" t="str">
        <f>C243&amp;"µF"</f>
        <v>47µF</v>
      </c>
      <c r="G243" t="str">
        <f>L66</f>
        <v>10V</v>
      </c>
      <c r="H243" s="88"/>
    </row>
    <row r="244" spans="1:8" x14ac:dyDescent="0.2">
      <c r="A244" s="306" t="s">
        <v>531</v>
      </c>
      <c r="B244" t="str">
        <f>C242&amp;"µF"</f>
        <v>47µF</v>
      </c>
      <c r="H244" s="88"/>
    </row>
    <row r="245" spans="1:8" x14ac:dyDescent="0.2">
      <c r="A245" s="306" t="s">
        <v>532</v>
      </c>
      <c r="B245" s="173" t="str">
        <f>D242&amp;" x "</f>
        <v xml:space="preserve">3 x </v>
      </c>
      <c r="H245" s="88"/>
    </row>
    <row r="246" spans="1:8" x14ac:dyDescent="0.2">
      <c r="A246" s="389"/>
      <c r="H246" s="88"/>
    </row>
    <row r="247" spans="1:8" x14ac:dyDescent="0.2">
      <c r="A247" s="388"/>
      <c r="H247" s="88"/>
    </row>
    <row r="248" spans="1:8" x14ac:dyDescent="0.2">
      <c r="A248" s="87" t="s">
        <v>410</v>
      </c>
      <c r="B248" t="str">
        <f>Cin*1000000&amp;"µF"</f>
        <v>150µF</v>
      </c>
      <c r="H248" s="88"/>
    </row>
    <row r="249" spans="1:8" x14ac:dyDescent="0.2">
      <c r="A249" s="306" t="s">
        <v>530</v>
      </c>
      <c r="B249" t="str">
        <f>"4.7µF"</f>
        <v>4.7µF</v>
      </c>
      <c r="H249" s="88"/>
    </row>
    <row r="250" spans="1:8" x14ac:dyDescent="0.2">
      <c r="A250" s="306" t="s">
        <v>529</v>
      </c>
      <c r="B250" s="173" t="str">
        <f>ROUNDUP(Cin*1000000/4.7,0)&amp;" x "</f>
        <v xml:space="preserve">32 x </v>
      </c>
      <c r="E250" t="str">
        <f>B250&amp;B249</f>
        <v>32 x 4.7µF</v>
      </c>
      <c r="H250" s="88"/>
    </row>
    <row r="251" spans="1:8" x14ac:dyDescent="0.2">
      <c r="A251" s="389"/>
      <c r="B251" s="173"/>
      <c r="H251" s="88"/>
    </row>
    <row r="252" spans="1:8" x14ac:dyDescent="0.2">
      <c r="A252" s="306"/>
      <c r="B252" s="173"/>
      <c r="H252" s="88"/>
    </row>
    <row r="253" spans="1:8" x14ac:dyDescent="0.2">
      <c r="A253" s="87" t="str">
        <f>"RC1 = "&amp;Rcea1_u/1000&amp;"kΩ"</f>
        <v>RC1 = 1kΩ</v>
      </c>
      <c r="B253" t="str">
        <f>ROUND(Rcea1_u/1000,2)&amp;"kΩ"</f>
        <v>1kΩ</v>
      </c>
      <c r="H253" s="88"/>
    </row>
    <row r="254" spans="1:8" x14ac:dyDescent="0.2">
      <c r="A254" s="87" t="str">
        <f>"CC1 = "&amp;Cc1ea_u*10^9&amp;"nF"</f>
        <v>CC1 = 18nF</v>
      </c>
      <c r="B254" t="str">
        <f>ROUND(Cc1ea_u*10^9,1)&amp;"nF"</f>
        <v>18nF</v>
      </c>
      <c r="H254" s="88"/>
    </row>
    <row r="255" spans="1:8" x14ac:dyDescent="0.2">
      <c r="A255" s="87" t="str">
        <f>"CC2 = "&amp;Cc2ea_u*10^12&amp;"pF"</f>
        <v>CC2 = 1000pF</v>
      </c>
      <c r="B255" t="str">
        <f>ROUND(Cc2ea_u*10^12,0)&amp;"pF"</f>
        <v>1000pF</v>
      </c>
      <c r="H255" s="88"/>
    </row>
    <row r="256" spans="1:8" x14ac:dyDescent="0.2">
      <c r="A256" s="87" t="str">
        <f>"RC2 = "&amp;Rcea2_u&amp;"Ω"</f>
        <v>RC2 = 22Ω</v>
      </c>
      <c r="B256" t="str">
        <f>ROUND(Rcea2_u,2)&amp;"Ω"</f>
        <v>22Ω</v>
      </c>
      <c r="H256" s="88"/>
    </row>
    <row r="257" spans="1:8" x14ac:dyDescent="0.2">
      <c r="A257" s="87" t="str">
        <f>"CC3 = "&amp;Cc3ea_u*10^12&amp;"pF"</f>
        <v>CC3 = 1800pF</v>
      </c>
      <c r="B257" t="str">
        <f>ROUND(Cc3ea_u*10^12,0)&amp;"pF"</f>
        <v>1800pF</v>
      </c>
      <c r="H257" s="88"/>
    </row>
    <row r="258" spans="1:8" x14ac:dyDescent="0.2">
      <c r="A258" s="87" t="str">
        <f>"RFB1 = "&amp;'Design Regulator'!E63&amp;"kΩ"</f>
        <v>RFB1 = 10.5kΩ</v>
      </c>
      <c r="B258" t="str">
        <f>'Design Regulator'!E63&amp;"kΩ"</f>
        <v>10.5kΩ</v>
      </c>
      <c r="H258" s="88"/>
    </row>
    <row r="259" spans="1:8" x14ac:dyDescent="0.2">
      <c r="A259" s="87" t="str">
        <f>"RFB2 = "&amp;IF(Vout=Vref,"OPEN",'Design Regulator'!E64&amp;"kΩ")</f>
        <v>RFB2 = 2kΩ</v>
      </c>
      <c r="B259" t="str">
        <f>IF(Vout=Vref,"OPEN",Rfb2_u/1000&amp;"kΩ")</f>
        <v>2kΩ</v>
      </c>
      <c r="H259" s="88"/>
    </row>
    <row r="260" spans="1:8" x14ac:dyDescent="0.2">
      <c r="A260" s="87" t="str">
        <f>"Crossover Frequency = "&amp;ROUND('Bode Plots Calculations'!BK5,0)&amp;" kHz"</f>
        <v>Crossover Frequency = 28 kHz</v>
      </c>
      <c r="B260" t="str">
        <f>ROUND('Bode Plots Calculations'!BK5,0)&amp;" kHz"</f>
        <v>28 kHz</v>
      </c>
      <c r="C260" s="172">
        <f>'Bode Plots Calculations'!BK5</f>
        <v>28</v>
      </c>
      <c r="H260" s="88"/>
    </row>
    <row r="261" spans="1:8" x14ac:dyDescent="0.2">
      <c r="A261" s="87" t="str">
        <f>"Phase Margin = "&amp;ROUND('Bode Plots Calculations'!BK6,0)&amp;"°"</f>
        <v>Phase Margin = 63°</v>
      </c>
      <c r="B261" s="173" t="str">
        <f>ROUND('Bode Plots Calculations'!BK6,0)&amp;"°"</f>
        <v>63°</v>
      </c>
      <c r="D261" s="309"/>
      <c r="H261" s="88"/>
    </row>
    <row r="262" spans="1:8" x14ac:dyDescent="0.2">
      <c r="A262" s="388"/>
      <c r="B262" s="173"/>
      <c r="D262" s="309"/>
      <c r="H262" s="88"/>
    </row>
    <row r="263" spans="1:8" x14ac:dyDescent="0.2">
      <c r="A263" s="87"/>
      <c r="H263" s="88"/>
    </row>
    <row r="264" spans="1:8" x14ac:dyDescent="0.2">
      <c r="A264" s="87" t="str">
        <f>"Rilim(Rdson) = "&amp;Rilim_Rdson&amp;"Ω"</f>
        <v>Rilim(Rdson) = 499Ω</v>
      </c>
      <c r="B264" t="str">
        <f>IF(Rilim_Rdson&gt;999,Rilim_Rdson/1000&amp;"kΩ", Rilim_Rdson&amp;"Ω")</f>
        <v>499Ω</v>
      </c>
      <c r="C264">
        <f>IF(Rilim_Rdson&gt;999,Rilim_Rdson/1000, Rilim_Rdson)</f>
        <v>499</v>
      </c>
      <c r="H264" s="88"/>
    </row>
    <row r="265" spans="1:8" x14ac:dyDescent="0.2">
      <c r="A265" s="87" t="str">
        <f>"Rilim(shunt) = "&amp;Rilim_shunt&amp;"Ω"</f>
        <v>Rilim(shunt) = 1000Ω</v>
      </c>
      <c r="B265" t="str">
        <f>IF('Standard Value Calculator'!S22&gt;999, 'Standard Value Calculator'!S22/1000&amp;"kΩ", 'Standard Value Calculator'!S22&amp;"Ω")</f>
        <v>1kΩ</v>
      </c>
      <c r="C265">
        <f>IF('Standard Value Calculator'!S22&gt;999, 'Standard Value Calculator'!S22/1000, 'Standard Value Calculator'!S22)</f>
        <v>1</v>
      </c>
      <c r="H265" s="88"/>
    </row>
    <row r="266" spans="1:8" x14ac:dyDescent="0.2">
      <c r="A266" s="87" t="s">
        <v>700</v>
      </c>
      <c r="B266" t="str">
        <f>Cilim_ideal&amp;"pF"</f>
        <v>10pF</v>
      </c>
      <c r="C266" s="463">
        <f>Cilim_ideal</f>
        <v>10</v>
      </c>
      <c r="H266" s="88"/>
    </row>
    <row r="267" spans="1:8" x14ac:dyDescent="0.2">
      <c r="A267" s="388"/>
      <c r="H267" s="88"/>
    </row>
    <row r="268" spans="1:8" x14ac:dyDescent="0.2">
      <c r="A268" s="389" t="s">
        <v>601</v>
      </c>
      <c r="B268" t="str">
        <f>IF(RDSON_sense=1, 'Variable Management'!B264,'Variable Management'!B265)</f>
        <v>499Ω</v>
      </c>
      <c r="C268">
        <f>IF(RDSON_sense=1, 'Variable Management'!C264,'Variable Management'!C265)</f>
        <v>499</v>
      </c>
      <c r="H268" s="88"/>
    </row>
    <row r="269" spans="1:8" x14ac:dyDescent="0.2">
      <c r="A269" s="389" t="str">
        <f>IF(RDSON_sense=1, "", "Rs")</f>
        <v/>
      </c>
      <c r="B269" t="str">
        <f>IF(RDSON_sense=1, "", Rshunt*1000&amp;"mΩ")</f>
        <v/>
      </c>
      <c r="D269" t="s">
        <v>702</v>
      </c>
      <c r="H269" s="88"/>
    </row>
    <row r="270" spans="1:8" x14ac:dyDescent="0.2">
      <c r="A270" s="389" t="str">
        <f>IF(RDSON_sense=1, "Cilim", "")</f>
        <v>Cilim</v>
      </c>
      <c r="B270" t="str">
        <f>IF(RDSON_sense=1, IF(Cilim_ideal&lt;3.3, "N/A", Cilim_ideal&amp;"pF"), "")</f>
        <v>10pF</v>
      </c>
      <c r="C270" s="428" t="str">
        <f>IF(RDSON_sense=1, IF(Cilim_ideal&lt;3.3, "N/A", Cilim_ideal&amp;""), "")</f>
        <v>10</v>
      </c>
      <c r="D270" t="s">
        <v>703</v>
      </c>
      <c r="H270" s="88"/>
    </row>
    <row r="271" spans="1:8" x14ac:dyDescent="0.2">
      <c r="A271" s="388"/>
      <c r="H271" s="88"/>
    </row>
    <row r="272" spans="1:8" x14ac:dyDescent="0.2">
      <c r="A272" s="388"/>
      <c r="H272" s="88"/>
    </row>
    <row r="273" spans="1:8" x14ac:dyDescent="0.2">
      <c r="A273" s="87" t="s">
        <v>429</v>
      </c>
      <c r="B273" t="str">
        <f>'Standard Value Calculator'!S24/1000&amp;"kΩ"</f>
        <v>0kΩ</v>
      </c>
      <c r="C273">
        <f>'Standard Value Calculator'!S24/1000</f>
        <v>0</v>
      </c>
      <c r="H273" s="88"/>
    </row>
    <row r="274" spans="1:8" x14ac:dyDescent="0.2">
      <c r="A274" s="306" t="s">
        <v>524</v>
      </c>
      <c r="B274" s="171" t="s">
        <v>525</v>
      </c>
      <c r="H274" s="88"/>
    </row>
    <row r="275" spans="1:8" x14ac:dyDescent="0.2">
      <c r="A275" s="87" t="s">
        <v>296</v>
      </c>
      <c r="B275" t="str">
        <f>'Standard Value Calculator'!S4/1000&amp;"kΩ"</f>
        <v>39.2kΩ</v>
      </c>
      <c r="H275" s="88"/>
    </row>
    <row r="276" spans="1:8" x14ac:dyDescent="0.2">
      <c r="A276" s="87" t="s">
        <v>295</v>
      </c>
      <c r="B276" t="str">
        <f>'Standard Value Calculator'!B4*1000000000 &amp;"nF"</f>
        <v>47nF</v>
      </c>
      <c r="H276" s="88"/>
    </row>
    <row r="277" spans="1:8" x14ac:dyDescent="0.2">
      <c r="A277" s="306" t="s">
        <v>526</v>
      </c>
      <c r="B277" s="171" t="s">
        <v>563</v>
      </c>
      <c r="H277" s="88"/>
    </row>
    <row r="278" spans="1:8" x14ac:dyDescent="0.2">
      <c r="A278" s="87" t="s">
        <v>358</v>
      </c>
      <c r="B278" t="str">
        <f>IF(B47="y","","|")</f>
        <v>|</v>
      </c>
      <c r="H278" s="88"/>
    </row>
    <row r="279" spans="1:8" x14ac:dyDescent="0.2">
      <c r="A279" s="87" t="s">
        <v>385</v>
      </c>
      <c r="B279" t="str">
        <f>'Design Regulator'!$E$10&amp;"A"</f>
        <v>20A</v>
      </c>
      <c r="H279" s="88"/>
    </row>
    <row r="280" spans="1:8" x14ac:dyDescent="0.2">
      <c r="A280" s="87" t="s">
        <v>281</v>
      </c>
      <c r="B280" t="str">
        <f>Vin&amp;"V"</f>
        <v>12.6V</v>
      </c>
      <c r="H280" s="88"/>
    </row>
    <row r="281" spans="1:8" x14ac:dyDescent="0.2">
      <c r="A281" s="389" t="s">
        <v>708</v>
      </c>
      <c r="B281" t="str">
        <f>Vinmin&amp;"V to "&amp;Vinmax&amp;"V"</f>
        <v>7.2V to 25.2V</v>
      </c>
      <c r="H281" s="88"/>
    </row>
    <row r="282" spans="1:8" x14ac:dyDescent="0.2">
      <c r="A282" s="389"/>
      <c r="H282" s="88"/>
    </row>
    <row r="283" spans="1:8" x14ac:dyDescent="0.2">
      <c r="A283" s="87"/>
      <c r="H283" s="88"/>
    </row>
    <row r="284" spans="1:8" x14ac:dyDescent="0.2">
      <c r="A284" s="87" t="s">
        <v>394</v>
      </c>
      <c r="B284">
        <v>12</v>
      </c>
      <c r="H284" s="88"/>
    </row>
    <row r="285" spans="1:8" x14ac:dyDescent="0.2">
      <c r="A285" s="87" t="s">
        <v>395</v>
      </c>
      <c r="B285">
        <v>18</v>
      </c>
      <c r="H285" s="88"/>
    </row>
    <row r="286" spans="1:8" x14ac:dyDescent="0.2">
      <c r="A286" s="87" t="s">
        <v>396</v>
      </c>
      <c r="B286">
        <v>14</v>
      </c>
      <c r="H286" s="88"/>
    </row>
    <row r="287" spans="1:8" x14ac:dyDescent="0.2">
      <c r="A287" s="87" t="s">
        <v>397</v>
      </c>
      <c r="B287">
        <v>6</v>
      </c>
      <c r="H287" s="88"/>
    </row>
    <row r="288" spans="1:8" x14ac:dyDescent="0.2">
      <c r="A288" s="87" t="s">
        <v>398</v>
      </c>
      <c r="B288">
        <v>7</v>
      </c>
      <c r="H288" s="88"/>
    </row>
    <row r="289" spans="1:8" x14ac:dyDescent="0.2">
      <c r="A289" s="87" t="s">
        <v>399</v>
      </c>
      <c r="B289">
        <v>11</v>
      </c>
      <c r="H289" s="88"/>
    </row>
    <row r="290" spans="1:8" x14ac:dyDescent="0.2">
      <c r="A290" s="87" t="s">
        <v>400</v>
      </c>
      <c r="B290">
        <v>1</v>
      </c>
      <c r="H290" s="88"/>
    </row>
    <row r="291" spans="1:8" x14ac:dyDescent="0.2">
      <c r="A291" s="87" t="s">
        <v>401</v>
      </c>
      <c r="B291">
        <v>5</v>
      </c>
      <c r="H291" s="88"/>
    </row>
    <row r="292" spans="1:8" x14ac:dyDescent="0.2">
      <c r="A292" s="87" t="s">
        <v>402</v>
      </c>
      <c r="B292">
        <v>13</v>
      </c>
      <c r="H292" s="88"/>
    </row>
    <row r="293" spans="1:8" x14ac:dyDescent="0.2">
      <c r="A293" s="87" t="s">
        <v>403</v>
      </c>
      <c r="B293">
        <v>4</v>
      </c>
      <c r="H293" s="88"/>
    </row>
    <row r="294" spans="1:8" x14ac:dyDescent="0.2">
      <c r="A294" s="87" t="s">
        <v>404</v>
      </c>
      <c r="B294">
        <v>3</v>
      </c>
      <c r="H294" s="88"/>
    </row>
    <row r="295" spans="1:8" x14ac:dyDescent="0.2">
      <c r="A295" s="87" t="s">
        <v>405</v>
      </c>
      <c r="B295">
        <v>24</v>
      </c>
      <c r="H295" s="88"/>
    </row>
    <row r="296" spans="1:8" x14ac:dyDescent="0.2">
      <c r="A296" s="87" t="s">
        <v>406</v>
      </c>
      <c r="B296">
        <v>23</v>
      </c>
      <c r="H296" s="88"/>
    </row>
    <row r="297" spans="1:8" x14ac:dyDescent="0.2">
      <c r="A297" s="87" t="s">
        <v>407</v>
      </c>
      <c r="B297">
        <v>15</v>
      </c>
      <c r="H297" s="88"/>
    </row>
    <row r="298" spans="1:8" x14ac:dyDescent="0.2">
      <c r="A298" s="87" t="s">
        <v>408</v>
      </c>
      <c r="B298">
        <v>16</v>
      </c>
      <c r="H298" s="88"/>
    </row>
    <row r="299" spans="1:8" x14ac:dyDescent="0.2">
      <c r="A299" s="87" t="s">
        <v>409</v>
      </c>
      <c r="B299">
        <v>17</v>
      </c>
      <c r="H299" s="88"/>
    </row>
    <row r="300" spans="1:8" x14ac:dyDescent="0.2">
      <c r="A300" t="s">
        <v>427</v>
      </c>
      <c r="B300">
        <v>2</v>
      </c>
      <c r="H300" s="88"/>
    </row>
    <row r="301" spans="1:8" x14ac:dyDescent="0.2">
      <c r="A301" s="87" t="s">
        <v>424</v>
      </c>
      <c r="B301">
        <v>8</v>
      </c>
      <c r="H301" s="88"/>
    </row>
    <row r="302" spans="1:8" x14ac:dyDescent="0.2">
      <c r="A302" s="87" t="s">
        <v>425</v>
      </c>
      <c r="B302">
        <v>9</v>
      </c>
      <c r="H302" s="88"/>
    </row>
    <row r="303" spans="1:8" ht="13.5" thickBot="1" x14ac:dyDescent="0.25">
      <c r="A303" s="91" t="s">
        <v>426</v>
      </c>
      <c r="B303" s="92">
        <v>10</v>
      </c>
      <c r="C303" s="92"/>
      <c r="D303" s="92"/>
      <c r="E303" s="92"/>
      <c r="F303" s="92"/>
      <c r="G303" s="92"/>
      <c r="H303" s="93"/>
    </row>
    <row r="307" spans="1:2" x14ac:dyDescent="0.2">
      <c r="A307" s="167"/>
    </row>
    <row r="308" spans="1:2" x14ac:dyDescent="0.2">
      <c r="A308" s="461" t="s">
        <v>695</v>
      </c>
      <c r="B308" s="54" t="str">
        <f>ROUND('Power Calculations'!AU209*1,1)&amp;"%"</f>
        <v>93.3%</v>
      </c>
    </row>
    <row r="309" spans="1:2" x14ac:dyDescent="0.2">
      <c r="A309" s="461" t="s">
        <v>696</v>
      </c>
      <c r="B309" s="54" t="str">
        <f>ROUND('Power Calculations'!AU109*1,1)&amp;"%"</f>
        <v>96%</v>
      </c>
    </row>
    <row r="346" spans="1:1" x14ac:dyDescent="0.2">
      <c r="A346" t="s">
        <v>316</v>
      </c>
    </row>
    <row r="347" spans="1:1" x14ac:dyDescent="0.2">
      <c r="A347" t="s">
        <v>317</v>
      </c>
    </row>
    <row r="348" spans="1:1" x14ac:dyDescent="0.2">
      <c r="A348" t="s">
        <v>318</v>
      </c>
    </row>
    <row r="349" spans="1:1" x14ac:dyDescent="0.2">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219075</xdr:colOff>
                <xdr:row>10</xdr:row>
                <xdr:rowOff>114300</xdr:rowOff>
              </from>
              <to>
                <xdr:col>16</xdr:col>
                <xdr:colOff>28575</xdr:colOff>
                <xdr:row>31</xdr:row>
                <xdr:rowOff>123825</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2.75" x14ac:dyDescent="0.2"/>
  <cols>
    <col min="1" max="1" width="17.28515625" customWidth="1"/>
    <col min="2" max="2" width="12" bestFit="1" customWidth="1"/>
    <col min="3" max="5" width="12.42578125" bestFit="1" customWidth="1"/>
    <col min="8" max="8" width="12.42578125" bestFit="1" customWidth="1"/>
    <col min="14" max="14" width="11.85546875" customWidth="1"/>
    <col min="17" max="17" width="12.140625" customWidth="1"/>
    <col min="18" max="18" width="12.42578125" bestFit="1" customWidth="1"/>
    <col min="19" max="19" width="15.42578125" customWidth="1"/>
  </cols>
  <sheetData>
    <row r="2" spans="1:20" x14ac:dyDescent="0.2">
      <c r="A2" t="s">
        <v>307</v>
      </c>
      <c r="B2" t="s">
        <v>295</v>
      </c>
      <c r="C2" t="s">
        <v>54</v>
      </c>
      <c r="D2" t="s">
        <v>55</v>
      </c>
      <c r="E2" t="s">
        <v>57</v>
      </c>
      <c r="F2" t="s">
        <v>36</v>
      </c>
      <c r="G2" t="s">
        <v>127</v>
      </c>
      <c r="H2" t="s">
        <v>700</v>
      </c>
      <c r="I2" t="s">
        <v>321</v>
      </c>
      <c r="J2" t="s">
        <v>305</v>
      </c>
      <c r="K2" t="s">
        <v>325</v>
      </c>
      <c r="L2" t="s">
        <v>304</v>
      </c>
      <c r="M2" t="s">
        <v>315</v>
      </c>
      <c r="N2" t="s">
        <v>359</v>
      </c>
    </row>
    <row r="3" spans="1:20" x14ac:dyDescent="0.2">
      <c r="A3" t="s">
        <v>310</v>
      </c>
      <c r="B3">
        <f>Css</f>
        <v>4.9999999999999998E-8</v>
      </c>
      <c r="C3">
        <f>Cc1ea</f>
        <v>8.120150167028388E-9</v>
      </c>
      <c r="D3">
        <f>Cc2ea</f>
        <v>5.6811788092360192E-10</v>
      </c>
      <c r="E3">
        <f>Cc3ea</f>
        <v>1.3990225539239734E-9</v>
      </c>
      <c r="F3">
        <f>Cout</f>
        <v>1E-4</v>
      </c>
      <c r="G3">
        <f>Cin</f>
        <v>1.4999999999999999E-4</v>
      </c>
      <c r="H3">
        <f>Cilim</f>
        <v>1.0060121139609661E-11</v>
      </c>
      <c r="I3">
        <f>Cdd</f>
        <v>0</v>
      </c>
      <c r="J3">
        <f>Csb</f>
        <v>0</v>
      </c>
      <c r="K3">
        <f>Csby</f>
        <v>100</v>
      </c>
      <c r="L3">
        <f>Cby</f>
        <v>0</v>
      </c>
      <c r="M3">
        <f>Cb</f>
        <v>0</v>
      </c>
      <c r="N3" t="e">
        <f>'Variable Management'!#REF!</f>
        <v>#REF!</v>
      </c>
      <c r="Q3" t="s">
        <v>312</v>
      </c>
      <c r="R3" t="s">
        <v>314</v>
      </c>
      <c r="S3" s="2" t="s">
        <v>309</v>
      </c>
    </row>
    <row r="4" spans="1:20" x14ac:dyDescent="0.2">
      <c r="A4" s="7" t="s">
        <v>309</v>
      </c>
      <c r="B4" s="7">
        <f>SUM(B6:B158)/1000000000000</f>
        <v>4.6999999999999997E-8</v>
      </c>
      <c r="C4" s="7">
        <f t="shared" ref="C4:H4" si="0">SUM(C6:C158)/1000000000000</f>
        <v>8.2000000000000006E-9</v>
      </c>
      <c r="D4" s="7">
        <f t="shared" si="0"/>
        <v>5.6000000000000003E-10</v>
      </c>
      <c r="E4" s="7">
        <f t="shared" si="0"/>
        <v>1.5E-9</v>
      </c>
      <c r="F4" s="7">
        <f t="shared" si="0"/>
        <v>1E-4</v>
      </c>
      <c r="G4" s="7">
        <f t="shared" si="0"/>
        <v>1.4999999999999999E-4</v>
      </c>
      <c r="H4" s="7">
        <f t="shared" si="0"/>
        <v>9.9999999999999994E-12</v>
      </c>
      <c r="I4" s="7">
        <f t="shared" ref="I4:N4" si="1">IF(I3="OPEN","OPEN",SUM(I6:I158)/1000000000000)</f>
        <v>0</v>
      </c>
      <c r="J4" s="7">
        <f t="shared" si="1"/>
        <v>0</v>
      </c>
      <c r="K4" s="7">
        <f t="shared" si="1"/>
        <v>0</v>
      </c>
      <c r="L4" s="7">
        <f t="shared" si="1"/>
        <v>0</v>
      </c>
      <c r="M4" s="7">
        <f t="shared" si="1"/>
        <v>0</v>
      </c>
      <c r="N4" s="7" t="e">
        <f t="shared" si="1"/>
        <v>#REF!</v>
      </c>
      <c r="Q4" t="s">
        <v>313</v>
      </c>
      <c r="R4">
        <f>Rfadj</f>
        <v>39062.5</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39200</v>
      </c>
      <c r="T4" s="55" t="s">
        <v>539</v>
      </c>
    </row>
    <row r="5" spans="1:20" x14ac:dyDescent="0.2">
      <c r="A5" t="s">
        <v>308</v>
      </c>
      <c r="Q5" s="171" t="s">
        <v>594</v>
      </c>
      <c r="R5">
        <f>Rilim_Rdson_ideal</f>
        <v>497.50744047619054</v>
      </c>
      <c r="S5" s="2">
        <f t="shared" si="2"/>
        <v>499</v>
      </c>
      <c r="T5" s="55" t="s">
        <v>539</v>
      </c>
    </row>
    <row r="6" spans="1:20" x14ac:dyDescent="0.2">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497.50744047619054</v>
      </c>
      <c r="S6" s="2">
        <f t="shared" si="2"/>
        <v>499</v>
      </c>
      <c r="T6" s="55" t="s">
        <v>539</v>
      </c>
    </row>
    <row r="7" spans="1:20" x14ac:dyDescent="0.2">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x14ac:dyDescent="0.2">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2341.7517552515715</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2320</v>
      </c>
      <c r="T8" s="55" t="s">
        <v>539</v>
      </c>
    </row>
    <row r="9" spans="1:20" x14ac:dyDescent="0.2">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71.478475968468388</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71.5</v>
      </c>
      <c r="T9" s="55" t="s">
        <v>539</v>
      </c>
    </row>
    <row r="10" spans="1:20" x14ac:dyDescent="0.2">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10500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10500</v>
      </c>
      <c r="T10" s="55" t="s">
        <v>539</v>
      </c>
    </row>
    <row r="11" spans="1:20" x14ac:dyDescent="0.2">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2000</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2000</v>
      </c>
      <c r="T11" s="55" t="s">
        <v>539</v>
      </c>
    </row>
    <row r="12" spans="1:20" x14ac:dyDescent="0.2">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10</v>
      </c>
      <c r="S12" s="2"/>
    </row>
    <row r="13" spans="1:20" x14ac:dyDescent="0.2">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1.0060121139609661E-11</v>
      </c>
      <c r="S13" s="2"/>
    </row>
    <row r="14" spans="1:20" x14ac:dyDescent="0.2">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1.54</v>
      </c>
      <c r="S14" s="2"/>
    </row>
    <row r="15" spans="1:20" x14ac:dyDescent="0.2">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x14ac:dyDescent="0.2">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400</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402</v>
      </c>
      <c r="T16" s="55" t="s">
        <v>493</v>
      </c>
    </row>
    <row r="17" spans="1:20" x14ac:dyDescent="0.2">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14.707317073170731</v>
      </c>
      <c r="S17" s="2">
        <f t="shared" si="13"/>
        <v>14.700000000000001</v>
      </c>
      <c r="T17" s="55" t="s">
        <v>493</v>
      </c>
    </row>
    <row r="18" spans="1:20" x14ac:dyDescent="0.2">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x14ac:dyDescent="0.2">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x14ac:dyDescent="0.2">
      <c r="A22">
        <v>10</v>
      </c>
      <c r="B22">
        <f t="shared" si="11"/>
        <v>0</v>
      </c>
      <c r="C22">
        <f t="shared" si="12"/>
        <v>0</v>
      </c>
      <c r="D22">
        <f t="shared" si="3"/>
        <v>0</v>
      </c>
      <c r="E22">
        <f t="shared" si="4"/>
        <v>0</v>
      </c>
      <c r="F22">
        <f t="shared" si="5"/>
        <v>0</v>
      </c>
      <c r="G22">
        <f t="shared" si="6"/>
        <v>0</v>
      </c>
      <c r="H22">
        <f t="shared" si="7"/>
        <v>10</v>
      </c>
      <c r="I22">
        <f t="shared" si="7"/>
        <v>0</v>
      </c>
      <c r="J22">
        <f t="shared" si="7"/>
        <v>0</v>
      </c>
      <c r="K22">
        <f t="shared" si="7"/>
        <v>0</v>
      </c>
      <c r="L22">
        <f t="shared" si="8"/>
        <v>0</v>
      </c>
      <c r="M22">
        <f t="shared" si="9"/>
        <v>0</v>
      </c>
      <c r="N22" t="e">
        <f t="shared" si="10"/>
        <v>#REF!</v>
      </c>
      <c r="Q22" s="171" t="s">
        <v>595</v>
      </c>
      <c r="R22" s="408">
        <f>Rilim_shunt_ideal</f>
        <v>995.01488095238108</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1000</v>
      </c>
      <c r="T22" s="55" t="s">
        <v>539</v>
      </c>
    </row>
    <row r="23" spans="1:20" x14ac:dyDescent="0.2">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1.0060121139609661E-11</v>
      </c>
      <c r="S23" s="2">
        <f>H4*1000000000000</f>
        <v>10</v>
      </c>
      <c r="T23" t="s">
        <v>53</v>
      </c>
    </row>
    <row r="24" spans="1:20" x14ac:dyDescent="0.2">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x14ac:dyDescent="0.2">
      <c r="A27">
        <v>27</v>
      </c>
      <c r="B27">
        <f t="shared" si="11"/>
        <v>0</v>
      </c>
      <c r="C27">
        <f t="shared" si="12"/>
        <v>0</v>
      </c>
      <c r="D27">
        <f t="shared" si="3"/>
        <v>0</v>
      </c>
      <c r="E27">
        <f t="shared" si="4"/>
        <v>0</v>
      </c>
      <c r="F27">
        <f t="shared" si="5"/>
        <v>0</v>
      </c>
      <c r="G27">
        <f t="shared" si="6"/>
        <v>0</v>
      </c>
      <c r="H27">
        <f t="shared" si="7"/>
        <v>0</v>
      </c>
      <c r="I27">
        <f t="shared" si="7"/>
        <v>0</v>
      </c>
      <c r="J27">
        <f t="shared" si="7"/>
        <v>0</v>
      </c>
      <c r="K27">
        <f t="shared" si="7"/>
        <v>0</v>
      </c>
      <c r="L27">
        <f t="shared" si="8"/>
        <v>0</v>
      </c>
      <c r="M27">
        <f t="shared" si="9"/>
        <v>0</v>
      </c>
      <c r="N27" t="e">
        <f t="shared" si="10"/>
        <v>#REF!</v>
      </c>
      <c r="Q27" s="3" t="s">
        <v>326</v>
      </c>
      <c r="R27" t="str">
        <f>S8/1000&amp;" kΩ"</f>
        <v>2.32 kΩ</v>
      </c>
      <c r="S27">
        <f>S8/1000</f>
        <v>2.3199999999999998</v>
      </c>
      <c r="T27" s="55" t="s">
        <v>493</v>
      </c>
    </row>
    <row r="28" spans="1:20" x14ac:dyDescent="0.2">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8200 pF</v>
      </c>
      <c r="S28">
        <f>C4*1000000000000</f>
        <v>8200</v>
      </c>
      <c r="T28" s="171" t="s">
        <v>53</v>
      </c>
    </row>
    <row r="29" spans="1:20" x14ac:dyDescent="0.2">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560 pF</v>
      </c>
      <c r="S29">
        <f>D4*1000000000000</f>
        <v>560</v>
      </c>
      <c r="T29" s="171" t="s">
        <v>53</v>
      </c>
    </row>
    <row r="30" spans="1:20" x14ac:dyDescent="0.2">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71.5 Ω</v>
      </c>
      <c r="S30">
        <f>S9</f>
        <v>71.5</v>
      </c>
      <c r="T30" s="55" t="s">
        <v>539</v>
      </c>
    </row>
    <row r="31" spans="1:20" x14ac:dyDescent="0.2">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1500 pF</v>
      </c>
      <c r="S31">
        <f>E4*1000000000000</f>
        <v>1500</v>
      </c>
      <c r="T31" s="171" t="s">
        <v>53</v>
      </c>
    </row>
    <row r="32" spans="1:20" x14ac:dyDescent="0.2">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
      <c r="A43">
        <f t="shared" si="14"/>
        <v>560</v>
      </c>
      <c r="B43">
        <f t="shared" si="11"/>
        <v>0</v>
      </c>
      <c r="C43">
        <f t="shared" si="17"/>
        <v>0</v>
      </c>
      <c r="D43">
        <f t="shared" si="3"/>
        <v>560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
      <c r="A47">
        <f t="shared" si="14"/>
        <v>1200</v>
      </c>
      <c r="B47">
        <f t="shared" si="11"/>
        <v>0</v>
      </c>
      <c r="C47">
        <f t="shared" si="17"/>
        <v>0</v>
      </c>
      <c r="D47">
        <f t="shared" si="3"/>
        <v>0</v>
      </c>
      <c r="E47">
        <f t="shared" si="4"/>
        <v>1500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
      <c r="A56">
        <f t="shared" si="14"/>
        <v>6800</v>
      </c>
      <c r="B56">
        <f t="shared" si="11"/>
        <v>0</v>
      </c>
      <c r="C56">
        <f t="shared" si="17"/>
        <v>8200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
      <c r="A66">
        <f t="shared" si="14"/>
        <v>47000</v>
      </c>
      <c r="B66">
        <f t="shared" si="11"/>
        <v>47000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
      <c r="A70">
        <f t="shared" si="14"/>
        <v>100000</v>
      </c>
      <c r="B70">
        <f t="shared" si="11"/>
        <v>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
      <c r="A106">
        <f t="shared" si="28"/>
        <v>100000000</v>
      </c>
      <c r="B106">
        <f t="shared" si="22"/>
        <v>0</v>
      </c>
      <c r="C106">
        <f t="shared" si="23"/>
        <v>0</v>
      </c>
      <c r="D106">
        <f t="shared" si="23"/>
        <v>0</v>
      </c>
      <c r="E106">
        <f t="shared" si="23"/>
        <v>0</v>
      </c>
      <c r="F106">
        <f t="shared" si="23"/>
        <v>100000000</v>
      </c>
      <c r="G106">
        <f t="shared" si="31"/>
        <v>0</v>
      </c>
      <c r="H106">
        <f t="shared" si="32"/>
        <v>0</v>
      </c>
      <c r="I106">
        <f t="shared" si="33"/>
        <v>0</v>
      </c>
      <c r="J106">
        <f t="shared" si="34"/>
        <v>0</v>
      </c>
      <c r="K106">
        <f t="shared" si="18"/>
        <v>0</v>
      </c>
      <c r="L106">
        <f t="shared" si="18"/>
        <v>0</v>
      </c>
      <c r="M106">
        <f t="shared" si="29"/>
        <v>0</v>
      </c>
      <c r="N106" t="e">
        <f t="shared" si="30"/>
        <v>#REF!</v>
      </c>
    </row>
    <row r="107" spans="1:14" x14ac:dyDescent="0.2">
      <c r="A107">
        <f t="shared" si="28"/>
        <v>120000000</v>
      </c>
      <c r="B107">
        <f t="shared" si="22"/>
        <v>0</v>
      </c>
      <c r="C107">
        <f t="shared" si="23"/>
        <v>0</v>
      </c>
      <c r="D107">
        <f t="shared" si="23"/>
        <v>0</v>
      </c>
      <c r="E107">
        <f t="shared" si="23"/>
        <v>0</v>
      </c>
      <c r="F107">
        <f t="shared" si="23"/>
        <v>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
      <c r="A108">
        <f t="shared" si="28"/>
        <v>150000000</v>
      </c>
      <c r="B108">
        <f t="shared" si="22"/>
        <v>0</v>
      </c>
      <c r="C108">
        <f t="shared" si="23"/>
        <v>0</v>
      </c>
      <c r="D108">
        <f t="shared" si="23"/>
        <v>0</v>
      </c>
      <c r="E108">
        <f t="shared" si="23"/>
        <v>0</v>
      </c>
      <c r="F108">
        <f t="shared" si="23"/>
        <v>0</v>
      </c>
      <c r="G108">
        <f t="shared" si="31"/>
        <v>150000000</v>
      </c>
      <c r="H108">
        <f t="shared" si="32"/>
        <v>0</v>
      </c>
      <c r="I108">
        <f t="shared" si="33"/>
        <v>0</v>
      </c>
      <c r="J108">
        <f t="shared" si="34"/>
        <v>0</v>
      </c>
      <c r="K108">
        <f t="shared" si="18"/>
        <v>0</v>
      </c>
      <c r="L108">
        <f t="shared" si="18"/>
        <v>0</v>
      </c>
      <c r="M108">
        <f t="shared" si="29"/>
        <v>0</v>
      </c>
      <c r="N108" t="e">
        <f t="shared" si="30"/>
        <v>#REF!</v>
      </c>
    </row>
    <row r="109" spans="1:14" x14ac:dyDescent="0.2">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2.75" x14ac:dyDescent="0.2"/>
  <cols>
    <col min="1" max="1" width="10.42578125" customWidth="1"/>
    <col min="2" max="2" width="10" bestFit="1" customWidth="1"/>
    <col min="4" max="4" width="12.42578125" bestFit="1" customWidth="1"/>
    <col min="7" max="7" width="11.140625" customWidth="1"/>
    <col min="8" max="8" width="13.140625" bestFit="1" customWidth="1"/>
    <col min="13" max="14" width="12.42578125" bestFit="1" customWidth="1"/>
    <col min="16" max="16" width="12.42578125" bestFit="1" customWidth="1"/>
    <col min="18" max="18" width="13.140625" bestFit="1" customWidth="1"/>
    <col min="20" max="20" width="13.140625" bestFit="1" customWidth="1"/>
    <col min="22" max="22" width="13.140625" bestFit="1" customWidth="1"/>
    <col min="24" max="24" width="13.85546875" bestFit="1" customWidth="1"/>
    <col min="25" max="25" width="12.5703125" bestFit="1" customWidth="1"/>
    <col min="26" max="26" width="12.42578125" bestFit="1" customWidth="1"/>
    <col min="28" max="28" width="3.140625" style="6" customWidth="1"/>
    <col min="29" max="32" width="8.5703125" customWidth="1"/>
    <col min="33" max="33" width="13.140625" bestFit="1" customWidth="1"/>
    <col min="34" max="34" width="9.5703125" bestFit="1" customWidth="1"/>
    <col min="35" max="35" width="10" bestFit="1" customWidth="1"/>
    <col min="36" max="39" width="8.85546875" customWidth="1"/>
    <col min="43" max="43" width="12.42578125" bestFit="1" customWidth="1"/>
    <col min="45" max="46" width="12.42578125" bestFit="1" customWidth="1"/>
    <col min="47" max="47" width="13.140625" bestFit="1" customWidth="1"/>
    <col min="49" max="49" width="13.140625" bestFit="1" customWidth="1"/>
    <col min="50" max="50" width="11" bestFit="1" customWidth="1"/>
    <col min="54" max="54" width="12.42578125" customWidth="1"/>
    <col min="55" max="55" width="10.140625" customWidth="1"/>
    <col min="58" max="58" width="11" customWidth="1"/>
    <col min="59" max="59" width="13" customWidth="1"/>
    <col min="60" max="60" width="16.85546875" customWidth="1"/>
    <col min="62" max="62" width="12.28515625" customWidth="1"/>
    <col min="66" max="66" width="13.140625" bestFit="1" customWidth="1"/>
    <col min="72" max="72" width="10.5703125" customWidth="1"/>
  </cols>
  <sheetData>
    <row r="1" spans="1:81" ht="38.25" customHeight="1" x14ac:dyDescent="0.4">
      <c r="A1" s="564" t="s">
        <v>45</v>
      </c>
      <c r="B1" s="564"/>
      <c r="C1" s="564"/>
      <c r="D1" s="564"/>
      <c r="E1" s="564"/>
      <c r="F1" s="564"/>
      <c r="G1" s="564"/>
      <c r="AC1" s="8" t="s">
        <v>106</v>
      </c>
      <c r="AD1" s="5"/>
      <c r="AE1" s="5"/>
      <c r="AF1" s="5"/>
      <c r="AG1" s="5"/>
    </row>
    <row r="3" spans="1:81" x14ac:dyDescent="0.2">
      <c r="AT3">
        <f>AT9/10000000000000</f>
        <v>-1.5855581586735805E-5</v>
      </c>
      <c r="AU3">
        <f>AU9/10000000000000</f>
        <v>-8.3765442559558811E-3</v>
      </c>
    </row>
    <row r="4" spans="1:81" x14ac:dyDescent="0.2">
      <c r="AT4">
        <f>AT3*1000</f>
        <v>-1.5855581586735806E-2</v>
      </c>
      <c r="AU4">
        <f>AU3*1000</f>
        <v>-8.3765442559558814</v>
      </c>
      <c r="BJ4" s="5" t="s">
        <v>111</v>
      </c>
      <c r="BK4" s="5"/>
    </row>
    <row r="5" spans="1:81" x14ac:dyDescent="0.2">
      <c r="AC5" t="s">
        <v>93</v>
      </c>
      <c r="AD5" t="s">
        <v>94</v>
      </c>
      <c r="AE5" t="s">
        <v>95</v>
      </c>
      <c r="AF5" t="s">
        <v>96</v>
      </c>
      <c r="AJ5" t="s">
        <v>93</v>
      </c>
      <c r="AK5" t="s">
        <v>94</v>
      </c>
      <c r="AL5" t="s">
        <v>95</v>
      </c>
      <c r="AM5" t="s">
        <v>96</v>
      </c>
      <c r="BJ5" t="s">
        <v>84</v>
      </c>
      <c r="BK5">
        <f>SUM(BJ9:BJ626)/1000</f>
        <v>28</v>
      </c>
    </row>
    <row r="6" spans="1:81" x14ac:dyDescent="0.2">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63.088054364938273</v>
      </c>
      <c r="BM6" s="5" t="s">
        <v>335</v>
      </c>
      <c r="BN6" s="5"/>
      <c r="BU6" s="2"/>
    </row>
    <row r="7" spans="1:81" x14ac:dyDescent="0.2">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
      <c r="A9">
        <v>1</v>
      </c>
      <c r="B9">
        <f>A9/1000</f>
        <v>1E-3</v>
      </c>
      <c r="C9">
        <f t="shared" ref="C9:C72" si="0">SQRT((A9/Fesr)^2+1)</f>
        <v>1.0000000000001974</v>
      </c>
      <c r="D9">
        <f t="shared" ref="D9:D72" si="1">ATAN(A9/Fesr)</f>
        <v>6.2831852999991738E-7</v>
      </c>
      <c r="F9">
        <f t="shared" ref="F9:F72" si="2">(Ro/(Ro+Rdcr))/SQRT((A9/(Q*Fo))^2+(1-(A9^2/Fo^2))^2)</f>
        <v>0.98039177812058809</v>
      </c>
      <c r="G9">
        <f t="shared" ref="G9:G72" si="3">-ATAN(A9*Fo/(Q*(Fo^2-A9^2)))</f>
        <v>-4.8061076295420366E-5</v>
      </c>
      <c r="H9">
        <f t="shared" ref="H9:H72" si="4">IF(G9&gt;0,G9-Pi,G9)</f>
        <v>-4.8061076295420366E-5</v>
      </c>
      <c r="J9">
        <f t="shared" ref="J9:J72" si="5">Vin/Vramp</f>
        <v>15</v>
      </c>
      <c r="M9">
        <f t="shared" ref="M9:M72" si="6">1/(2*Pi*_Rfb1*(Cc1ea_u+Cc2ea_u)*A9)</f>
        <v>797.76913921682399</v>
      </c>
      <c r="N9">
        <f t="shared" ref="N9:N72" si="7">-Pi/2</f>
        <v>-1.5707963250000001</v>
      </c>
      <c r="O9">
        <f t="shared" ref="O9:O72" si="8">SQRT(1+(A9/Fz1_u)^2)</f>
        <v>1.0000000063955037</v>
      </c>
      <c r="P9">
        <f t="shared" ref="P9:P72" si="9">ATAN2(Fz1_u,A9)</f>
        <v>1.1309733491779038E-4</v>
      </c>
      <c r="Q9">
        <f t="shared" ref="Q9:Q72" si="10">SQRT(1+(A9/Fz2_u)^2)</f>
        <v>1.000000007080621</v>
      </c>
      <c r="R9">
        <f t="shared" ref="R9:R72" si="11">ATAN2(Fz2_u,A9)</f>
        <v>1.1900101574614595E-4</v>
      </c>
      <c r="S9">
        <f t="shared" ref="S9:S72" si="12">1/SQRT(1+(A9/Fp1_u)^2)</f>
        <v>0.99999999999996891</v>
      </c>
      <c r="T9">
        <f t="shared" ref="T9:T72" si="13">-ATAN2(Fp1_u,A9)</f>
        <v>-2.488141378799949E-7</v>
      </c>
      <c r="U9">
        <f t="shared" ref="U9:U72" si="14">1/SQRT(1+(A9/Fp2_u)^2)</f>
        <v>0.99999999998228395</v>
      </c>
      <c r="V9">
        <f t="shared" ref="V9:V72" si="15">-ATAN2(Fp2_u,A9)</f>
        <v>-5.9524913367718021E-6</v>
      </c>
      <c r="X9">
        <f>20*LOG(C9*J9*O9*Q9*F9*M9*S9*U9)</f>
        <v>81.387363149574924</v>
      </c>
      <c r="Y9">
        <f t="shared" ref="Y9:Y72" si="16">(180/Pi)*(D9+H9+N9+P9+R9+T9+V9)</f>
        <v>-89.989774749525125</v>
      </c>
      <c r="Z9">
        <f>Y9+180</f>
        <v>90.010225250474875</v>
      </c>
      <c r="AC9">
        <v>1</v>
      </c>
      <c r="AD9">
        <f t="shared" ref="AD9:AD72" si="17">Rcea1_u*Cc1ea_u*A9*2*Pi</f>
        <v>1.1309733540000001E-4</v>
      </c>
      <c r="AE9">
        <f t="shared" ref="AE9:AE72" si="18">-Rcea1_u*Cc1ea_u*Cc2ea_u*(A9*2*Pi)^2</f>
        <v>-7.1061151525444985E-13</v>
      </c>
      <c r="AF9">
        <f t="shared" ref="AF9:AF72" si="19">(Cc2ea_u+Cc1ea_u)*A9*2*Pi</f>
        <v>1.193805207E-7</v>
      </c>
      <c r="AG9">
        <f>AC9*AE9/(AE9^2+AF9^2)+AD9*AF9/(AE9^2+AF9^2)</f>
        <v>897.50692517595576</v>
      </c>
      <c r="AH9">
        <f>AD9*AE9/(AE9^2+AF9^2)-AC9*AF9/(AE9^2+AF9^2)</f>
        <v>-8376575.9671190539</v>
      </c>
      <c r="AI9">
        <f>SQRT(AG9^2+AH9^2)</f>
        <v>8376576.0152006736</v>
      </c>
      <c r="AJ9">
        <f t="shared" ref="AJ9:AJ72" si="20">_Rfb1</f>
        <v>10500</v>
      </c>
      <c r="AK9">
        <f t="shared" ref="AK9:AK72" si="21">_Rfb1*Rcea2_u*Cc3ea_u*A9*2*Pi</f>
        <v>2.6125484477400002E-3</v>
      </c>
      <c r="AL9">
        <v>1</v>
      </c>
      <c r="AM9">
        <f t="shared" ref="AM9:AM72" si="22">(_Rfb1+Rcea2_u)*Cc3ea_u*A9*2*Pi</f>
        <v>1.1900101630788001E-4</v>
      </c>
      <c r="AN9">
        <f>AJ9*AL9/(AL9^2+AM9^2)+AK9*AM9/(AL9^2+AM9^2)</f>
        <v>10499.999851617858</v>
      </c>
      <c r="AO9">
        <f>AK9*AL9/(AL9^2+AM9^2)-AJ9*AM9/(AL9^2+AM9^2)</f>
        <v>-1.2468981051273744</v>
      </c>
      <c r="AP9" s="51">
        <f>SQRT(AN9^2+AO9^2)</f>
        <v>10499.999925653805</v>
      </c>
      <c r="AQ9">
        <f t="shared" ref="AQ9:AQ72" si="23">Eadcg/(1+(Eadcg*A9/GBP)^2)</f>
        <v>9999.9600001600011</v>
      </c>
      <c r="AR9">
        <f t="shared" ref="AR9:AR72" si="24">-(A9*Eadcg*Eadcg/GBP)/(1+(Eadcg*A9/GBP)^2)</f>
        <v>-19.99992000032</v>
      </c>
      <c r="AT9">
        <f>-AR9*AH9+AG9*AQ9</f>
        <v>-158555815.86735806</v>
      </c>
      <c r="AU9">
        <f>AQ9*AH9+AG9*AR9</f>
        <v>-83765442559.558807</v>
      </c>
      <c r="AV9">
        <f>ATAN2(AT9,AU9)</f>
        <v>-1.5726891792846551</v>
      </c>
      <c r="AW9">
        <f t="shared" ref="AW9:AW73" si="25">AG9-AH9*AO9/_Rfb2+AG9*AN9/_Rfb2+AN9-AO9*AR9+AQ9*AN9</f>
        <v>105010440.62971912</v>
      </c>
      <c r="AX9">
        <f t="shared" ref="AX9:AX73" si="26">AH9+AH9*AN9/_Rfb2+AG9*AO9/_Rfb2+AO9+AO9*AQ9+AN9*AR9</f>
        <v>-52576069.067686178</v>
      </c>
      <c r="AY9">
        <f>ATAN2(AW9,AX9)</f>
        <v>-0.46418720967676247</v>
      </c>
      <c r="BA9">
        <f t="shared" ref="BA9:BA72" si="27">SQRT(AT9^2+AU9^2)/SQRT(AW9^2+AX9^2)</f>
        <v>713.28144433505145</v>
      </c>
      <c r="BB9" s="51">
        <f>20*LOG(BA9)</f>
        <v>57.065218524218096</v>
      </c>
      <c r="BC9">
        <f>AV9-AY9</f>
        <v>-1.1085019696078926</v>
      </c>
      <c r="BD9">
        <f t="shared" ref="BD9:BD72" si="28">BC9*180/Pi-180</f>
        <v>-243.51248451304488</v>
      </c>
      <c r="BF9">
        <f t="shared" ref="BF9:BF72" si="29">20*LOG(BA9*J9*F9*C9)</f>
        <v>80.415036914587603</v>
      </c>
      <c r="BG9">
        <f t="shared" ref="BG9:BG72" si="30">(180/Pi)*(D9+H9+BC9)</f>
        <v>-63.515202209878623</v>
      </c>
      <c r="BH9">
        <f>IF(BG9&gt;180,BG9-180,BG9+180)</f>
        <v>116.48479779012138</v>
      </c>
      <c r="BI9">
        <f>IF(BH9&gt;180,BH9-360,BH9)</f>
        <v>116.48479779012138</v>
      </c>
      <c r="BJ9">
        <f t="shared" ref="BJ9:BJ72" si="31">SUM((BF10&lt;0)*(BF9&gt;0))*A9</f>
        <v>0</v>
      </c>
      <c r="BK9">
        <f>IF(BJ9&gt;0,BI9,0)</f>
        <v>0</v>
      </c>
      <c r="BM9">
        <f>20*LOG(J9*F9*C9)</f>
        <v>23.34981839036951</v>
      </c>
      <c r="BN9">
        <f t="shared" ref="BN9:BN72" si="32">(H9+D9)*180/Pi</f>
        <v>-2.7176968337303945E-3</v>
      </c>
      <c r="BQ9" s="56">
        <f>20*LOG(BA9*7)</f>
        <v>73.967179324503235</v>
      </c>
      <c r="BR9" s="56"/>
      <c r="BS9" s="56"/>
      <c r="BT9" s="56" t="s">
        <v>44</v>
      </c>
      <c r="BU9" s="56" t="s">
        <v>68</v>
      </c>
      <c r="BV9" s="56" t="s">
        <v>69</v>
      </c>
      <c r="BW9" s="56"/>
      <c r="BY9" s="56"/>
      <c r="BZ9" s="56"/>
      <c r="CA9" s="56"/>
      <c r="CC9" s="56"/>
    </row>
    <row r="10" spans="1:81" x14ac:dyDescent="0.2">
      <c r="A10">
        <v>2</v>
      </c>
      <c r="B10">
        <f t="shared" ref="B10:B73" si="33">A10/1000</f>
        <v>2E-3</v>
      </c>
      <c r="C10">
        <f t="shared" si="0"/>
        <v>1.0000000000007896</v>
      </c>
      <c r="D10">
        <f t="shared" si="1"/>
        <v>1.2566370599993386E-6</v>
      </c>
      <c r="F10">
        <f t="shared" si="2"/>
        <v>0.98039179529620235</v>
      </c>
      <c r="G10">
        <f t="shared" si="3"/>
        <v>-9.6122154385832229E-5</v>
      </c>
      <c r="H10">
        <f t="shared" si="4"/>
        <v>-9.6122154385832229E-5</v>
      </c>
      <c r="J10">
        <f t="shared" si="5"/>
        <v>15</v>
      </c>
      <c r="M10">
        <f t="shared" si="6"/>
        <v>398.88456960841199</v>
      </c>
      <c r="N10">
        <f t="shared" si="7"/>
        <v>-1.5707963250000001</v>
      </c>
      <c r="O10">
        <f t="shared" si="8"/>
        <v>1.0000000255820143</v>
      </c>
      <c r="P10">
        <f t="shared" si="9"/>
        <v>2.2619466694232318E-4</v>
      </c>
      <c r="Q10">
        <f t="shared" si="10"/>
        <v>1.0000000283224835</v>
      </c>
      <c r="R10">
        <f t="shared" si="11"/>
        <v>2.3800202812188767E-4</v>
      </c>
      <c r="S10">
        <f t="shared" si="12"/>
        <v>0.9999999999998761</v>
      </c>
      <c r="T10">
        <f t="shared" si="13"/>
        <v>-4.97628275759959E-7</v>
      </c>
      <c r="U10">
        <f t="shared" si="14"/>
        <v>0.9999999999291358</v>
      </c>
      <c r="V10">
        <f t="shared" si="15"/>
        <v>-1.1904982673121785E-5</v>
      </c>
      <c r="X10">
        <f t="shared" ref="X10:X73" si="34">20*LOG(C10*J10*O10*Q10*F10*M10*S10*U10)</f>
        <v>75.366763739163645</v>
      </c>
      <c r="Y10">
        <f t="shared" si="16"/>
        <v>-89.979549499511933</v>
      </c>
      <c r="Z10">
        <f t="shared" ref="Z10:Z73" si="35">Y10+180</f>
        <v>90.020450500488067</v>
      </c>
      <c r="AC10">
        <v>1</v>
      </c>
      <c r="AD10">
        <f t="shared" si="17"/>
        <v>2.2619467080000003E-4</v>
      </c>
      <c r="AE10">
        <f t="shared" si="18"/>
        <v>-2.8424460610177994E-12</v>
      </c>
      <c r="AF10">
        <f t="shared" si="19"/>
        <v>2.387610414E-7</v>
      </c>
      <c r="AG10">
        <f t="shared" ref="AG10:AG73" si="36">AC10*AE10/(AE10^2+AF10^2)+AD10*AF10/(AE10^2+AF10^2)</f>
        <v>897.50692508055386</v>
      </c>
      <c r="AH10">
        <f t="shared" ref="AH10:AH73" si="37">AD10*AE10/(AE10^2+AF10^2)-AC10*AF10/(AE10^2+AF10^2)</f>
        <v>-4188287.9915731307</v>
      </c>
      <c r="AJ10">
        <f t="shared" si="20"/>
        <v>10500</v>
      </c>
      <c r="AK10">
        <f t="shared" si="21"/>
        <v>5.2250968954800003E-3</v>
      </c>
      <c r="AL10">
        <v>1</v>
      </c>
      <c r="AM10">
        <f t="shared" si="22"/>
        <v>2.3800203261576002E-4</v>
      </c>
      <c r="AN10">
        <f t="shared" ref="AN10:AN73" si="38">AJ10*AL10/(AL10^2+AM10^2)+AK10*AM10/(AL10^2+AM10^2)</f>
        <v>10499.999406471457</v>
      </c>
      <c r="AO10">
        <f t="shared" ref="AO10:AO73" si="39">AK10*AL10/(AL10^2+AM10^2)-AJ10*AM10/(AL10^2+AM10^2)</f>
        <v>-2.4937961043090007</v>
      </c>
      <c r="AQ10">
        <f t="shared" si="23"/>
        <v>9999.8400025599585</v>
      </c>
      <c r="AR10">
        <f t="shared" si="24"/>
        <v>-39.999360010239833</v>
      </c>
      <c r="AT10">
        <f t="shared" ref="AT10:AT21" si="40">-AR10*AH10+AG10*AQ10</f>
        <v>-158553913.54950291</v>
      </c>
      <c r="AU10">
        <f t="shared" ref="AU10:AU21" si="41">AQ10*AH10+AG10*AR10</f>
        <v>-41882245700.077103</v>
      </c>
      <c r="AV10">
        <f t="shared" ref="AV10:AV73" si="42">ATAN2(AT10,AU10)</f>
        <v>-1.5745820157774988</v>
      </c>
      <c r="AW10">
        <f t="shared" si="25"/>
        <v>105009101.39072424</v>
      </c>
      <c r="AX10">
        <f t="shared" si="26"/>
        <v>-26621733.135702427</v>
      </c>
      <c r="AY10">
        <f>ATAN2(AW10,AX10)</f>
        <v>-0.248287291429868</v>
      </c>
      <c r="BA10">
        <f t="shared" si="27"/>
        <v>386.61607193198813</v>
      </c>
      <c r="BB10">
        <f t="shared" ref="BB10:BB73" si="43">20*LOG(BA10)</f>
        <v>51.745598080570446</v>
      </c>
      <c r="BC10">
        <f t="shared" ref="BC10:BC73" si="44">AV10-AY10</f>
        <v>-1.3262947243476308</v>
      </c>
      <c r="BD10">
        <f t="shared" si="28"/>
        <v>-255.99109018241865</v>
      </c>
      <c r="BF10">
        <f t="shared" si="29"/>
        <v>75.09541662311436</v>
      </c>
      <c r="BG10">
        <f t="shared" si="30"/>
        <v>-75.99652557618893</v>
      </c>
      <c r="BH10">
        <f t="shared" ref="BH10:BH73" si="45">IF(BG10&gt;180,BG10-180,BG10+180)</f>
        <v>104.00347442381107</v>
      </c>
      <c r="BI10">
        <f t="shared" ref="BI10:BI73" si="46">IF(BH10&gt;180,BH10-360,BH10)</f>
        <v>104.00347442381107</v>
      </c>
      <c r="BJ10">
        <f t="shared" si="31"/>
        <v>0</v>
      </c>
      <c r="BK10">
        <f t="shared" ref="BK10:BK73" si="47">IF(BJ10&gt;0,BI10,0)</f>
        <v>0</v>
      </c>
      <c r="BM10">
        <f t="shared" ref="BM10:BM73" si="48">20*LOG(J10*F10*C10)</f>
        <v>23.349818542543911</v>
      </c>
      <c r="BN10">
        <f t="shared" si="32"/>
        <v>-5.4353937703062556E-3</v>
      </c>
      <c r="BQ10" s="56">
        <f t="shared" ref="BQ10:BQ73" si="49">20*LOG(BA10*7)</f>
        <v>68.64755888085557</v>
      </c>
      <c r="BR10" s="57"/>
      <c r="BS10" s="57"/>
      <c r="BT10" s="57">
        <v>100</v>
      </c>
      <c r="BU10" s="57">
        <v>35.359299999999998</v>
      </c>
      <c r="BV10" s="57">
        <v>-267.66769999999997</v>
      </c>
      <c r="BW10" s="61"/>
      <c r="BY10" s="57"/>
      <c r="BZ10" s="57"/>
      <c r="CA10" s="57"/>
      <c r="CC10" s="57"/>
    </row>
    <row r="11" spans="1:81" x14ac:dyDescent="0.2">
      <c r="A11">
        <v>3</v>
      </c>
      <c r="B11">
        <f t="shared" si="33"/>
        <v>3.0000000000000001E-3</v>
      </c>
      <c r="C11">
        <f t="shared" si="0"/>
        <v>1.0000000000017766</v>
      </c>
      <c r="D11">
        <f t="shared" si="1"/>
        <v>1.8849555899977679E-6</v>
      </c>
      <c r="F11">
        <f t="shared" si="2"/>
        <v>0.9803918239222269</v>
      </c>
      <c r="G11">
        <f t="shared" si="3"/>
        <v>-1.4418323606622729E-4</v>
      </c>
      <c r="H11">
        <f t="shared" si="4"/>
        <v>-1.4418323606622729E-4</v>
      </c>
      <c r="J11">
        <f t="shared" si="5"/>
        <v>15</v>
      </c>
      <c r="M11">
        <f t="shared" si="6"/>
        <v>265.92304640560803</v>
      </c>
      <c r="N11">
        <f t="shared" si="7"/>
        <v>-1.5707963250000001</v>
      </c>
      <c r="O11">
        <f t="shared" si="8"/>
        <v>1.0000000575595311</v>
      </c>
      <c r="P11">
        <f t="shared" si="9"/>
        <v>3.3929199318034133E-4</v>
      </c>
      <c r="Q11">
        <f t="shared" si="10"/>
        <v>1.0000000637255864</v>
      </c>
      <c r="R11">
        <f t="shared" si="11"/>
        <v>3.5700303375682155E-4</v>
      </c>
      <c r="S11">
        <f t="shared" si="12"/>
        <v>0.99999999999972156</v>
      </c>
      <c r="T11">
        <f t="shared" si="13"/>
        <v>-7.4644241363986147E-7</v>
      </c>
      <c r="U11">
        <f t="shared" si="14"/>
        <v>0.99999999984055532</v>
      </c>
      <c r="V11">
        <f t="shared" si="15"/>
        <v>-1.7857474008628127E-5</v>
      </c>
      <c r="X11">
        <f t="shared" si="34"/>
        <v>71.84493939616388</v>
      </c>
      <c r="Y11">
        <f t="shared" si="16"/>
        <v>-89.969324250422162</v>
      </c>
      <c r="Z11">
        <f t="shared" si="35"/>
        <v>90.030675749577838</v>
      </c>
      <c r="AC11">
        <v>1</v>
      </c>
      <c r="AD11">
        <f t="shared" si="17"/>
        <v>3.3929200620000003E-4</v>
      </c>
      <c r="AE11">
        <f t="shared" si="18"/>
        <v>-6.3955036372900484E-12</v>
      </c>
      <c r="AF11">
        <f t="shared" si="19"/>
        <v>3.5814156209999997E-7</v>
      </c>
      <c r="AG11">
        <f t="shared" si="36"/>
        <v>897.50692492155088</v>
      </c>
      <c r="AH11">
        <f t="shared" si="37"/>
        <v>-2792192.0032860902</v>
      </c>
      <c r="AJ11">
        <f t="shared" si="20"/>
        <v>10500</v>
      </c>
      <c r="AK11">
        <f t="shared" si="21"/>
        <v>7.8376453432200018E-3</v>
      </c>
      <c r="AL11">
        <v>1</v>
      </c>
      <c r="AM11">
        <f t="shared" si="22"/>
        <v>3.5700304892364004E-4</v>
      </c>
      <c r="AN11">
        <f t="shared" si="38"/>
        <v>10499.998664560875</v>
      </c>
      <c r="AO11">
        <f t="shared" si="39"/>
        <v>-3.740693891599161</v>
      </c>
      <c r="AQ11">
        <f t="shared" si="23"/>
        <v>9999.6400129595349</v>
      </c>
      <c r="AR11">
        <f t="shared" si="24"/>
        <v>-59.997840077757203</v>
      </c>
      <c r="AT11">
        <f t="shared" si="40"/>
        <v>-158550743.12119755</v>
      </c>
      <c r="AU11">
        <f t="shared" si="41"/>
        <v>-27920968728.40218</v>
      </c>
      <c r="AV11">
        <f t="shared" si="42"/>
        <v>-1.57647482027728</v>
      </c>
      <c r="AW11">
        <f t="shared" si="25"/>
        <v>105006869.39717132</v>
      </c>
      <c r="AX11">
        <f t="shared" si="26"/>
        <v>-18118586.40848773</v>
      </c>
      <c r="AY11">
        <f t="shared" ref="AY11:AY74" si="50">ATAN2(AW11,AX11)</f>
        <v>-0.17086425665410415</v>
      </c>
      <c r="BA11">
        <f t="shared" si="27"/>
        <v>262.02887895240508</v>
      </c>
      <c r="BB11">
        <f t="shared" si="43"/>
        <v>48.366983175899037</v>
      </c>
      <c r="BC11">
        <f t="shared" si="44"/>
        <v>-1.4056105636231759</v>
      </c>
      <c r="BD11">
        <f t="shared" si="28"/>
        <v>-260.53555302663813</v>
      </c>
      <c r="BF11">
        <f t="shared" si="29"/>
        <v>71.716801972066961</v>
      </c>
      <c r="BG11">
        <f t="shared" si="30"/>
        <v>-80.543706117550713</v>
      </c>
      <c r="BH11">
        <f t="shared" si="45"/>
        <v>99.456293882449287</v>
      </c>
      <c r="BI11">
        <f t="shared" si="46"/>
        <v>99.456293882449287</v>
      </c>
      <c r="BJ11">
        <f t="shared" si="31"/>
        <v>0</v>
      </c>
      <c r="BK11">
        <f t="shared" si="47"/>
        <v>0</v>
      </c>
      <c r="BM11">
        <f t="shared" si="48"/>
        <v>23.349818796167913</v>
      </c>
      <c r="BN11">
        <f t="shared" si="32"/>
        <v>-8.1530909125730588E-3</v>
      </c>
      <c r="BQ11" s="56">
        <f t="shared" si="49"/>
        <v>65.268943976184175</v>
      </c>
      <c r="BR11" s="58"/>
      <c r="BS11" s="58"/>
      <c r="BT11" s="58">
        <v>102.32899999999999</v>
      </c>
      <c r="BU11" s="58">
        <v>34.936799999999998</v>
      </c>
      <c r="BV11" s="58">
        <v>-265.91489999999999</v>
      </c>
      <c r="BW11" s="61"/>
      <c r="BY11" s="58"/>
      <c r="BZ11" s="58"/>
      <c r="CA11" s="58"/>
      <c r="CC11" s="58"/>
    </row>
    <row r="12" spans="1:81" x14ac:dyDescent="0.2">
      <c r="A12">
        <v>4</v>
      </c>
      <c r="B12">
        <f t="shared" si="33"/>
        <v>4.0000000000000001E-3</v>
      </c>
      <c r="C12">
        <f t="shared" si="0"/>
        <v>1.0000000000031584</v>
      </c>
      <c r="D12">
        <f t="shared" si="1"/>
        <v>2.5132741199947084E-6</v>
      </c>
      <c r="F12">
        <f t="shared" si="2"/>
        <v>0.98039186399866374</v>
      </c>
      <c r="G12">
        <f t="shared" si="3"/>
        <v>-1.9224432313159765E-4</v>
      </c>
      <c r="H12">
        <f t="shared" si="4"/>
        <v>-1.9224432313159765E-4</v>
      </c>
      <c r="J12">
        <f t="shared" si="5"/>
        <v>15</v>
      </c>
      <c r="M12">
        <f t="shared" si="6"/>
        <v>199.442284804206</v>
      </c>
      <c r="N12">
        <f t="shared" si="7"/>
        <v>-1.5707963250000001</v>
      </c>
      <c r="O12">
        <f t="shared" si="8"/>
        <v>1.0000001023280529</v>
      </c>
      <c r="P12">
        <f t="shared" si="9"/>
        <v>4.5238931073858849E-4</v>
      </c>
      <c r="Q12">
        <f t="shared" si="10"/>
        <v>1.0000001132899288</v>
      </c>
      <c r="R12">
        <f t="shared" si="11"/>
        <v>4.7600402928054509E-4</v>
      </c>
      <c r="S12">
        <f t="shared" si="12"/>
        <v>0.99999999999950484</v>
      </c>
      <c r="T12">
        <f t="shared" si="13"/>
        <v>-9.9525655151967151E-7</v>
      </c>
      <c r="U12">
        <f t="shared" si="14"/>
        <v>0.99999999971654274</v>
      </c>
      <c r="V12">
        <f t="shared" si="15"/>
        <v>-2.3809965342869015E-5</v>
      </c>
      <c r="X12">
        <f t="shared" si="34"/>
        <v>69.346165837357233</v>
      </c>
      <c r="Y12">
        <f t="shared" si="16"/>
        <v>-89.959099002717494</v>
      </c>
      <c r="Z12">
        <f t="shared" si="35"/>
        <v>90.040900997282506</v>
      </c>
      <c r="AC12">
        <v>1</v>
      </c>
      <c r="AD12">
        <f t="shared" si="17"/>
        <v>4.5238934160000006E-4</v>
      </c>
      <c r="AE12">
        <f t="shared" si="18"/>
        <v>-1.1369784244071198E-11</v>
      </c>
      <c r="AF12">
        <f t="shared" si="19"/>
        <v>4.775220828E-7</v>
      </c>
      <c r="AG12">
        <f t="shared" si="36"/>
        <v>897.5069246989467</v>
      </c>
      <c r="AH12">
        <f t="shared" si="37"/>
        <v>-2094144.0118137717</v>
      </c>
      <c r="AJ12">
        <f t="shared" si="20"/>
        <v>10500</v>
      </c>
      <c r="AK12">
        <f t="shared" si="21"/>
        <v>1.0450193790960001E-2</v>
      </c>
      <c r="AL12">
        <v>1</v>
      </c>
      <c r="AM12">
        <f t="shared" si="22"/>
        <v>4.7600406523152003E-4</v>
      </c>
      <c r="AN12">
        <f t="shared" si="38"/>
        <v>10499.997625886235</v>
      </c>
      <c r="AO12">
        <f t="shared" si="39"/>
        <v>-4.9875913610521971</v>
      </c>
      <c r="AQ12">
        <f t="shared" si="23"/>
        <v>9999.3600409573774</v>
      </c>
      <c r="AR12">
        <f t="shared" si="24"/>
        <v>-79.994880327659018</v>
      </c>
      <c r="AT12">
        <f t="shared" si="40"/>
        <v>-158546304.73460922</v>
      </c>
      <c r="AU12">
        <f t="shared" si="41"/>
        <v>-20940171747.699837</v>
      </c>
      <c r="AV12">
        <f t="shared" si="42"/>
        <v>-1.5783675767893874</v>
      </c>
      <c r="AW12">
        <f t="shared" si="25"/>
        <v>105003744.7562089</v>
      </c>
      <c r="AX12">
        <f t="shared" si="26"/>
        <v>-13978223.589038067</v>
      </c>
      <c r="AY12">
        <f t="shared" si="50"/>
        <v>-0.13234308997491873</v>
      </c>
      <c r="BA12">
        <f t="shared" si="27"/>
        <v>197.68489114839088</v>
      </c>
      <c r="BB12">
        <f t="shared" si="43"/>
        <v>45.919469558086597</v>
      </c>
      <c r="BC12">
        <f t="shared" si="44"/>
        <v>-1.4460244868144687</v>
      </c>
      <c r="BD12">
        <f t="shared" si="28"/>
        <v>-262.851100261711</v>
      </c>
      <c r="BF12">
        <f t="shared" si="29"/>
        <v>69.269288709328137</v>
      </c>
      <c r="BG12">
        <f t="shared" si="30"/>
        <v>-82.861971050074374</v>
      </c>
      <c r="BH12">
        <f t="shared" si="45"/>
        <v>97.138028949925626</v>
      </c>
      <c r="BI12">
        <f t="shared" si="46"/>
        <v>97.138028949925626</v>
      </c>
      <c r="BJ12">
        <f t="shared" si="31"/>
        <v>0</v>
      </c>
      <c r="BK12">
        <f t="shared" si="47"/>
        <v>0</v>
      </c>
      <c r="BM12">
        <f t="shared" si="48"/>
        <v>23.34981915124153</v>
      </c>
      <c r="BN12">
        <f t="shared" si="32"/>
        <v>-1.0870788363376304E-2</v>
      </c>
      <c r="BQ12" s="56">
        <f t="shared" si="49"/>
        <v>62.821430358371735</v>
      </c>
      <c r="BR12" s="57"/>
      <c r="BS12" s="57"/>
      <c r="BT12" s="57">
        <v>104.71299999999999</v>
      </c>
      <c r="BU12" s="57">
        <v>34.190800000000003</v>
      </c>
      <c r="BV12" s="57">
        <v>-264.93219999999997</v>
      </c>
      <c r="BW12" s="61"/>
      <c r="BY12" s="57"/>
      <c r="BZ12" s="57"/>
      <c r="CA12" s="57"/>
      <c r="CC12" s="57"/>
    </row>
    <row r="13" spans="1:81" x14ac:dyDescent="0.2">
      <c r="A13">
        <v>5</v>
      </c>
      <c r="B13">
        <f t="shared" si="33"/>
        <v>5.0000000000000001E-3</v>
      </c>
      <c r="C13">
        <f t="shared" si="0"/>
        <v>1.0000000000049347</v>
      </c>
      <c r="D13">
        <f t="shared" si="1"/>
        <v>3.1415926499896649E-6</v>
      </c>
      <c r="F13">
        <f t="shared" si="2"/>
        <v>0.98039191552551475</v>
      </c>
      <c r="G13">
        <f t="shared" si="3"/>
        <v>-2.4030541737693597E-4</v>
      </c>
      <c r="H13">
        <f t="shared" si="4"/>
        <v>-2.4030541737693597E-4</v>
      </c>
      <c r="J13">
        <f t="shared" si="5"/>
        <v>15</v>
      </c>
      <c r="M13">
        <f t="shared" si="6"/>
        <v>159.55382784336481</v>
      </c>
      <c r="N13">
        <f t="shared" si="7"/>
        <v>-1.5707963250000001</v>
      </c>
      <c r="O13">
        <f t="shared" si="8"/>
        <v>1.0000001598875781</v>
      </c>
      <c r="P13">
        <f t="shared" si="9"/>
        <v>5.6548661672380985E-4</v>
      </c>
      <c r="Q13">
        <f t="shared" si="10"/>
        <v>1.0000001770155078</v>
      </c>
      <c r="R13">
        <f t="shared" si="11"/>
        <v>5.9500501132265756E-4</v>
      </c>
      <c r="S13">
        <f t="shared" si="12"/>
        <v>0.99999999999922617</v>
      </c>
      <c r="T13">
        <f t="shared" si="13"/>
        <v>-1.2440706893993582E-6</v>
      </c>
      <c r="U13">
        <f t="shared" si="14"/>
        <v>0.99999999955709806</v>
      </c>
      <c r="V13">
        <f t="shared" si="15"/>
        <v>-2.9762456675422623E-5</v>
      </c>
      <c r="X13">
        <f t="shared" si="34"/>
        <v>67.407967085800863</v>
      </c>
      <c r="Y13">
        <f t="shared" si="16"/>
        <v>-89.948873756859641</v>
      </c>
      <c r="Z13">
        <f t="shared" si="35"/>
        <v>90.051126243140359</v>
      </c>
      <c r="AC13">
        <v>1</v>
      </c>
      <c r="AD13">
        <f t="shared" si="17"/>
        <v>5.6548667700000003E-4</v>
      </c>
      <c r="AE13">
        <f t="shared" si="18"/>
        <v>-1.7765287881361244E-11</v>
      </c>
      <c r="AF13">
        <f t="shared" si="19"/>
        <v>5.9690260350000003E-7</v>
      </c>
      <c r="AG13">
        <f t="shared" si="36"/>
        <v>897.50692441274123</v>
      </c>
      <c r="AH13">
        <f t="shared" si="37"/>
        <v>-1675315.2190673414</v>
      </c>
      <c r="AJ13">
        <f t="shared" si="20"/>
        <v>10500</v>
      </c>
      <c r="AK13">
        <f t="shared" si="21"/>
        <v>1.3062742238700001E-2</v>
      </c>
      <c r="AL13">
        <v>1</v>
      </c>
      <c r="AM13">
        <f t="shared" si="22"/>
        <v>5.9500508153940014E-4</v>
      </c>
      <c r="AN13">
        <f t="shared" si="38"/>
        <v>10499.996290447716</v>
      </c>
      <c r="AO13">
        <f t="shared" si="39"/>
        <v>-6.2344884067225426</v>
      </c>
      <c r="AQ13">
        <f t="shared" si="23"/>
        <v>9999.0000999900003</v>
      </c>
      <c r="AR13">
        <f t="shared" si="24"/>
        <v>-99.990000999900005</v>
      </c>
      <c r="AT13">
        <f t="shared" si="40"/>
        <v>-158540598.60274646</v>
      </c>
      <c r="AU13">
        <f t="shared" si="41"/>
        <v>-16751566784.687386</v>
      </c>
      <c r="AV13">
        <f t="shared" si="42"/>
        <v>-1.5802602693215133</v>
      </c>
      <c r="AW13">
        <f t="shared" si="25"/>
        <v>104999727.61782724</v>
      </c>
      <c r="AX13">
        <f t="shared" si="26"/>
        <v>-11582959.333855871</v>
      </c>
      <c r="AY13">
        <f t="shared" si="50"/>
        <v>-0.10986994456589545</v>
      </c>
      <c r="BA13">
        <f t="shared" si="27"/>
        <v>158.58428446542723</v>
      </c>
      <c r="BB13">
        <f t="shared" si="43"/>
        <v>44.005202939818645</v>
      </c>
      <c r="BC13">
        <f t="shared" si="44"/>
        <v>-1.4703903247556178</v>
      </c>
      <c r="BD13">
        <f t="shared" si="28"/>
        <v>-264.24715994163381</v>
      </c>
      <c r="BF13">
        <f t="shared" si="29"/>
        <v>67.355022547583403</v>
      </c>
      <c r="BG13">
        <f t="shared" si="30"/>
        <v>-84.260748427859355</v>
      </c>
      <c r="BH13">
        <f t="shared" si="45"/>
        <v>95.739251572140645</v>
      </c>
      <c r="BI13">
        <f t="shared" si="46"/>
        <v>95.739251572140645</v>
      </c>
      <c r="BJ13">
        <f t="shared" si="31"/>
        <v>0</v>
      </c>
      <c r="BK13">
        <f t="shared" si="47"/>
        <v>0</v>
      </c>
      <c r="BM13">
        <f t="shared" si="48"/>
        <v>23.349819607764751</v>
      </c>
      <c r="BN13">
        <f t="shared" si="32"/>
        <v>-1.3588486225561526E-2</v>
      </c>
      <c r="BQ13" s="56">
        <f t="shared" si="49"/>
        <v>60.907163740103783</v>
      </c>
      <c r="BR13" s="58"/>
      <c r="BS13" s="58"/>
      <c r="BT13" s="58">
        <v>107.152</v>
      </c>
      <c r="BU13" s="58">
        <v>34.477699999999999</v>
      </c>
      <c r="BV13" s="58">
        <v>-262.3057</v>
      </c>
      <c r="BW13" s="61"/>
      <c r="BY13" s="58"/>
      <c r="BZ13" s="58"/>
      <c r="CA13" s="58"/>
      <c r="CC13" s="58"/>
    </row>
    <row r="14" spans="1:81" x14ac:dyDescent="0.2">
      <c r="A14">
        <v>6</v>
      </c>
      <c r="B14">
        <f t="shared" si="33"/>
        <v>6.0000000000000001E-3</v>
      </c>
      <c r="C14">
        <f t="shared" si="0"/>
        <v>1.0000000000071061</v>
      </c>
      <c r="D14">
        <f t="shared" si="1"/>
        <v>3.7699111799821407E-6</v>
      </c>
      <c r="F14">
        <f t="shared" si="2"/>
        <v>0.98039197850278292</v>
      </c>
      <c r="G14">
        <f t="shared" si="3"/>
        <v>-2.8836652059723565E-4</v>
      </c>
      <c r="H14">
        <f t="shared" si="4"/>
        <v>-2.8836652059723565E-4</v>
      </c>
      <c r="J14">
        <f t="shared" si="5"/>
        <v>15</v>
      </c>
      <c r="M14">
        <f t="shared" si="6"/>
        <v>132.96152320280402</v>
      </c>
      <c r="N14">
        <f t="shared" si="7"/>
        <v>-1.5707963250000001</v>
      </c>
      <c r="O14">
        <f t="shared" si="8"/>
        <v>1.0000002302381044</v>
      </c>
      <c r="P14">
        <f t="shared" si="9"/>
        <v>6.7858390824275224E-4</v>
      </c>
      <c r="Q14">
        <f t="shared" si="10"/>
        <v>1.0000002549023215</v>
      </c>
      <c r="R14">
        <f t="shared" si="11"/>
        <v>7.1400597651276039E-4</v>
      </c>
      <c r="S14">
        <f t="shared" si="12"/>
        <v>0.99999999999888578</v>
      </c>
      <c r="T14">
        <f t="shared" si="13"/>
        <v>-1.4928848272788912E-6</v>
      </c>
      <c r="U14">
        <f t="shared" si="14"/>
        <v>0.99999999936222128</v>
      </c>
      <c r="V14">
        <f t="shared" si="15"/>
        <v>-3.5714948005867137E-5</v>
      </c>
      <c r="X14">
        <f t="shared" si="34"/>
        <v>65.824344008698503</v>
      </c>
      <c r="Y14">
        <f t="shared" si="16"/>
        <v>-89.938648513310298</v>
      </c>
      <c r="Z14">
        <f t="shared" si="35"/>
        <v>90.061351486689702</v>
      </c>
      <c r="AC14">
        <v>1</v>
      </c>
      <c r="AD14">
        <f t="shared" si="17"/>
        <v>6.7858401240000006E-4</v>
      </c>
      <c r="AE14">
        <f t="shared" si="18"/>
        <v>-2.5582014549160194E-11</v>
      </c>
      <c r="AF14">
        <f t="shared" si="19"/>
        <v>7.1628312419999995E-7</v>
      </c>
      <c r="AG14">
        <f t="shared" si="36"/>
        <v>897.50692406293467</v>
      </c>
      <c r="AH14">
        <f t="shared" si="37"/>
        <v>-1396096.0256838552</v>
      </c>
      <c r="AJ14">
        <f t="shared" si="20"/>
        <v>10500</v>
      </c>
      <c r="AK14">
        <f t="shared" si="21"/>
        <v>1.5675290686440004E-2</v>
      </c>
      <c r="AL14">
        <v>1</v>
      </c>
      <c r="AM14">
        <f t="shared" si="22"/>
        <v>7.1400609784728008E-4</v>
      </c>
      <c r="AN14">
        <f t="shared" si="38"/>
        <v>10499.994658245545</v>
      </c>
      <c r="AO14">
        <f t="shared" si="39"/>
        <v>-7.4813849226647466</v>
      </c>
      <c r="AQ14">
        <f t="shared" si="23"/>
        <v>9998.5602073301452</v>
      </c>
      <c r="AR14">
        <f t="shared" si="24"/>
        <v>-119.98272248796174</v>
      </c>
      <c r="AT14">
        <f t="shared" si="40"/>
        <v>-158533624.99943334</v>
      </c>
      <c r="AU14">
        <f t="shared" si="41"/>
        <v>-13959057853.33856</v>
      </c>
      <c r="AV14">
        <f t="shared" si="42"/>
        <v>-1.5821528818844208</v>
      </c>
      <c r="AW14">
        <f t="shared" si="25"/>
        <v>104994818.17483993</v>
      </c>
      <c r="AX14">
        <f t="shared" si="26"/>
        <v>-10060228.293194149</v>
      </c>
      <c r="AY14">
        <f t="shared" si="50"/>
        <v>-9.5524807914840235E-2</v>
      </c>
      <c r="BA14">
        <f t="shared" si="27"/>
        <v>132.35238166018405</v>
      </c>
      <c r="BB14">
        <f t="shared" si="43"/>
        <v>42.434635215364523</v>
      </c>
      <c r="BC14">
        <f t="shared" si="44"/>
        <v>-1.4866280739695805</v>
      </c>
      <c r="BD14">
        <f t="shared" si="28"/>
        <v>-265.17751444144881</v>
      </c>
      <c r="BF14">
        <f t="shared" si="29"/>
        <v>65.784455381102134</v>
      </c>
      <c r="BG14">
        <f t="shared" si="30"/>
        <v>-85.19382062605078</v>
      </c>
      <c r="BH14">
        <f t="shared" si="45"/>
        <v>94.80617937394922</v>
      </c>
      <c r="BI14">
        <f t="shared" si="46"/>
        <v>94.80617937394922</v>
      </c>
      <c r="BJ14">
        <f t="shared" si="31"/>
        <v>0</v>
      </c>
      <c r="BK14">
        <f t="shared" si="47"/>
        <v>0</v>
      </c>
      <c r="BM14">
        <f t="shared" si="48"/>
        <v>23.349820165737608</v>
      </c>
      <c r="BN14">
        <f t="shared" si="32"/>
        <v>-1.6306184601974298E-2</v>
      </c>
      <c r="BQ14" s="56">
        <f t="shared" si="49"/>
        <v>59.336596015649661</v>
      </c>
      <c r="BR14" s="58"/>
      <c r="BS14" s="58"/>
      <c r="BT14" s="58">
        <v>109.648</v>
      </c>
      <c r="BU14" s="58">
        <v>34.114400000000003</v>
      </c>
      <c r="BV14" s="58">
        <v>-262.76620000000003</v>
      </c>
      <c r="BW14" s="61"/>
      <c r="BY14" s="58"/>
      <c r="BZ14" s="58"/>
      <c r="CA14" s="58"/>
      <c r="CC14" s="58"/>
    </row>
    <row r="15" spans="1:81" x14ac:dyDescent="0.2">
      <c r="A15">
        <v>7</v>
      </c>
      <c r="B15">
        <f t="shared" si="33"/>
        <v>7.0000000000000001E-3</v>
      </c>
      <c r="C15">
        <f t="shared" si="0"/>
        <v>1.0000000000096723</v>
      </c>
      <c r="D15">
        <f t="shared" si="1"/>
        <v>4.3982297099716397E-6</v>
      </c>
      <c r="F15">
        <f t="shared" si="2"/>
        <v>0.9803920529304716</v>
      </c>
      <c r="G15">
        <f t="shared" si="3"/>
        <v>-3.3642763458749126E-4</v>
      </c>
      <c r="H15">
        <f t="shared" si="4"/>
        <v>-3.3642763458749126E-4</v>
      </c>
      <c r="J15">
        <f t="shared" si="5"/>
        <v>15</v>
      </c>
      <c r="M15">
        <f t="shared" si="6"/>
        <v>113.9670198881177</v>
      </c>
      <c r="N15">
        <f t="shared" si="7"/>
        <v>-1.5707963250000001</v>
      </c>
      <c r="O15">
        <f t="shared" si="8"/>
        <v>1.0000003133796291</v>
      </c>
      <c r="P15">
        <f t="shared" si="9"/>
        <v>7.916811824021648E-4</v>
      </c>
      <c r="Q15">
        <f t="shared" si="10"/>
        <v>1.000000346950366</v>
      </c>
      <c r="R15">
        <f t="shared" si="11"/>
        <v>8.3300692148045809E-4</v>
      </c>
      <c r="S15">
        <f t="shared" si="12"/>
        <v>0.99999999999848321</v>
      </c>
      <c r="T15">
        <f t="shared" si="13"/>
        <v>-1.741698965158239E-6</v>
      </c>
      <c r="U15">
        <f t="shared" si="14"/>
        <v>0.9999999991319124</v>
      </c>
      <c r="V15">
        <f t="shared" si="15"/>
        <v>-4.1667439333780733E-5</v>
      </c>
      <c r="X15">
        <f t="shared" si="34"/>
        <v>64.485410395181617</v>
      </c>
      <c r="Y15">
        <f t="shared" si="16"/>
        <v>-89.928423272531163</v>
      </c>
      <c r="Z15">
        <f t="shared" si="35"/>
        <v>90.071576727468837</v>
      </c>
      <c r="AC15">
        <v>1</v>
      </c>
      <c r="AD15">
        <f t="shared" si="17"/>
        <v>7.9168134780000009E-4</v>
      </c>
      <c r="AE15">
        <f t="shared" si="18"/>
        <v>-3.4819964247468038E-11</v>
      </c>
      <c r="AF15">
        <f t="shared" si="19"/>
        <v>8.3566364489999997E-7</v>
      </c>
      <c r="AG15">
        <f t="shared" si="36"/>
        <v>897.5069236495267</v>
      </c>
      <c r="AH15">
        <f t="shared" si="37"/>
        <v>-1196653.7462220513</v>
      </c>
      <c r="AJ15">
        <f t="shared" si="20"/>
        <v>10500</v>
      </c>
      <c r="AK15">
        <f t="shared" si="21"/>
        <v>1.8287839134180001E-2</v>
      </c>
      <c r="AL15">
        <v>1</v>
      </c>
      <c r="AM15">
        <f t="shared" si="22"/>
        <v>8.3300711415516002E-4</v>
      </c>
      <c r="AN15">
        <f t="shared" si="38"/>
        <v>10499.992729279995</v>
      </c>
      <c r="AO15">
        <f t="shared" si="39"/>
        <v>-8.7282808029335115</v>
      </c>
      <c r="AQ15">
        <f t="shared" si="23"/>
        <v>9998.0403840847193</v>
      </c>
      <c r="AR15">
        <f t="shared" si="24"/>
        <v>-139.97256537718607</v>
      </c>
      <c r="AT15">
        <f t="shared" si="40"/>
        <v>-158525384.25927711</v>
      </c>
      <c r="AU15">
        <f t="shared" si="41"/>
        <v>-11964318106.840883</v>
      </c>
      <c r="AV15">
        <f t="shared" si="42"/>
        <v>-1.5840453984927112</v>
      </c>
      <c r="AW15">
        <f t="shared" si="25"/>
        <v>104989016.66286087</v>
      </c>
      <c r="AX15">
        <f t="shared" si="26"/>
        <v>-9036070.8314581662</v>
      </c>
      <c r="AY15">
        <f t="shared" si="50"/>
        <v>-8.5855246600429008E-2</v>
      </c>
      <c r="BA15">
        <f t="shared" si="27"/>
        <v>113.54803232778087</v>
      </c>
      <c r="BB15">
        <f t="shared" si="43"/>
        <v>41.103592254762603</v>
      </c>
      <c r="BC15">
        <f t="shared" si="44"/>
        <v>-1.4981901518922822</v>
      </c>
      <c r="BD15">
        <f t="shared" si="28"/>
        <v>-265.83997270957798</v>
      </c>
      <c r="BF15">
        <f t="shared" si="29"/>
        <v>64.453413079922711</v>
      </c>
      <c r="BG15">
        <f t="shared" si="30"/>
        <v>-85.85899659317343</v>
      </c>
      <c r="BH15">
        <f t="shared" si="45"/>
        <v>94.14100340682657</v>
      </c>
      <c r="BI15">
        <f t="shared" si="46"/>
        <v>94.14100340682657</v>
      </c>
      <c r="BJ15">
        <f t="shared" si="31"/>
        <v>0</v>
      </c>
      <c r="BK15">
        <f t="shared" si="47"/>
        <v>0</v>
      </c>
      <c r="BM15">
        <f t="shared" si="48"/>
        <v>23.349820825160098</v>
      </c>
      <c r="BN15">
        <f t="shared" si="32"/>
        <v>-1.9023883595460259E-2</v>
      </c>
      <c r="BQ15" s="56">
        <f t="shared" si="49"/>
        <v>58.005553055047741</v>
      </c>
      <c r="BR15" s="58"/>
      <c r="BS15" s="58"/>
      <c r="BT15" s="58">
        <v>112.202</v>
      </c>
      <c r="BU15" s="58">
        <v>34.297699999999999</v>
      </c>
      <c r="BV15" s="58">
        <v>-267.01279999999997</v>
      </c>
      <c r="BW15" s="61"/>
      <c r="BY15" s="58"/>
      <c r="BZ15" s="58"/>
      <c r="CA15" s="58"/>
      <c r="CC15" s="58"/>
    </row>
    <row r="16" spans="1:81" x14ac:dyDescent="0.2">
      <c r="A16">
        <v>8</v>
      </c>
      <c r="B16">
        <f t="shared" si="33"/>
        <v>8.0000000000000002E-3</v>
      </c>
      <c r="C16">
        <f t="shared" si="0"/>
        <v>1.000000000012633</v>
      </c>
      <c r="D16">
        <f t="shared" si="1"/>
        <v>5.0265482399576667E-6</v>
      </c>
      <c r="F16">
        <f t="shared" si="2"/>
        <v>0.980392138808585</v>
      </c>
      <c r="G16">
        <f t="shared" si="3"/>
        <v>-3.8448876114269829E-4</v>
      </c>
      <c r="H16">
        <f t="shared" si="4"/>
        <v>-3.8448876114269829E-4</v>
      </c>
      <c r="J16">
        <f t="shared" si="5"/>
        <v>15</v>
      </c>
      <c r="M16">
        <f t="shared" si="6"/>
        <v>99.721142402102998</v>
      </c>
      <c r="N16">
        <f t="shared" si="7"/>
        <v>-1.5707963250000001</v>
      </c>
      <c r="O16">
        <f t="shared" si="8"/>
        <v>1.0000004093121491</v>
      </c>
      <c r="P16">
        <f t="shared" si="9"/>
        <v>9.0477843630879917E-4</v>
      </c>
      <c r="Q16">
        <f t="shared" si="10"/>
        <v>1.0000004531596376</v>
      </c>
      <c r="R16">
        <f t="shared" si="11"/>
        <v>9.5200784285535826E-4</v>
      </c>
      <c r="S16">
        <f t="shared" si="12"/>
        <v>0.99999999999801892</v>
      </c>
      <c r="T16">
        <f t="shared" si="13"/>
        <v>-1.9905131030373716E-6</v>
      </c>
      <c r="U16">
        <f t="shared" si="14"/>
        <v>0.99999999886617119</v>
      </c>
      <c r="V16">
        <f t="shared" si="15"/>
        <v>-4.7619930658741606E-5</v>
      </c>
      <c r="X16">
        <f t="shared" si="34"/>
        <v>63.32557396996841</v>
      </c>
      <c r="Y16">
        <f t="shared" si="16"/>
        <v>-89.918198034983959</v>
      </c>
      <c r="Z16">
        <f t="shared" si="35"/>
        <v>90.081801965016041</v>
      </c>
      <c r="AC16">
        <v>1</v>
      </c>
      <c r="AD16">
        <f t="shared" si="17"/>
        <v>9.0477868320000012E-4</v>
      </c>
      <c r="AE16">
        <f t="shared" si="18"/>
        <v>-4.547913697628479E-11</v>
      </c>
      <c r="AF16">
        <f t="shared" si="19"/>
        <v>9.550441656E-7</v>
      </c>
      <c r="AG16">
        <f t="shared" si="36"/>
        <v>897.50692317251765</v>
      </c>
      <c r="AH16">
        <f t="shared" si="37"/>
        <v>-1047072.0379612989</v>
      </c>
      <c r="AJ16">
        <f t="shared" si="20"/>
        <v>10500</v>
      </c>
      <c r="AK16">
        <f t="shared" si="21"/>
        <v>2.0900387581920001E-2</v>
      </c>
      <c r="AL16">
        <v>1</v>
      </c>
      <c r="AM16">
        <f t="shared" si="22"/>
        <v>9.5200813046304007E-4</v>
      </c>
      <c r="AN16">
        <f t="shared" si="38"/>
        <v>10499.9905035514</v>
      </c>
      <c r="AO16">
        <f t="shared" si="39"/>
        <v>-9.9751759415837231</v>
      </c>
      <c r="AQ16">
        <f t="shared" si="23"/>
        <v>9997.4406551922712</v>
      </c>
      <c r="AR16">
        <f t="shared" si="24"/>
        <v>-159.95905048307634</v>
      </c>
      <c r="AT16">
        <f t="shared" si="40"/>
        <v>-158515876.77762759</v>
      </c>
      <c r="AU16">
        <f t="shared" si="41"/>
        <v>-10468184125.584547</v>
      </c>
      <c r="AV16">
        <f t="shared" si="42"/>
        <v>-1.58593780316559</v>
      </c>
      <c r="AW16">
        <f t="shared" si="25"/>
        <v>104982323.36027625</v>
      </c>
      <c r="AX16">
        <f t="shared" si="26"/>
        <v>-8323504.4576263847</v>
      </c>
      <c r="AY16">
        <f t="shared" si="50"/>
        <v>-7.9119312024336447E-2</v>
      </c>
      <c r="BA16">
        <f t="shared" si="27"/>
        <v>99.413239469106273</v>
      </c>
      <c r="BB16">
        <f t="shared" si="43"/>
        <v>39.948884518024592</v>
      </c>
      <c r="BC16">
        <f t="shared" si="44"/>
        <v>-1.5068184911412534</v>
      </c>
      <c r="BD16">
        <f t="shared" si="28"/>
        <v>-266.334340133316</v>
      </c>
      <c r="BF16">
        <f t="shared" si="29"/>
        <v>63.298706104056819</v>
      </c>
      <c r="BG16">
        <f t="shared" si="30"/>
        <v>-86.356081716624871</v>
      </c>
      <c r="BH16">
        <f t="shared" si="45"/>
        <v>93.643918283375129</v>
      </c>
      <c r="BI16">
        <f t="shared" si="46"/>
        <v>93.643918283375129</v>
      </c>
      <c r="BJ16">
        <f t="shared" si="31"/>
        <v>0</v>
      </c>
      <c r="BK16">
        <f t="shared" si="47"/>
        <v>0</v>
      </c>
      <c r="BM16">
        <f t="shared" si="48"/>
        <v>23.349821586032231</v>
      </c>
      <c r="BN16">
        <f t="shared" si="32"/>
        <v>-2.1741583308865112E-2</v>
      </c>
      <c r="BQ16" s="56">
        <f t="shared" si="49"/>
        <v>56.85084531830973</v>
      </c>
      <c r="BR16" s="59"/>
      <c r="BS16" s="59"/>
      <c r="BT16" s="59">
        <v>114.815</v>
      </c>
      <c r="BU16" s="59">
        <v>33.346499999999999</v>
      </c>
      <c r="BV16" s="59">
        <v>-266.20479999999998</v>
      </c>
      <c r="BW16" s="61"/>
      <c r="BY16" s="59"/>
      <c r="BZ16" s="59"/>
      <c r="CA16" s="59"/>
      <c r="CC16" s="59"/>
    </row>
    <row r="17" spans="1:81" x14ac:dyDescent="0.2">
      <c r="A17">
        <v>9</v>
      </c>
      <c r="B17">
        <f t="shared" si="33"/>
        <v>8.9999999999999993E-3</v>
      </c>
      <c r="C17">
        <f t="shared" si="0"/>
        <v>1.0000000000159888</v>
      </c>
      <c r="D17">
        <f t="shared" si="1"/>
        <v>5.6548667699397237E-6</v>
      </c>
      <c r="F17">
        <f t="shared" si="2"/>
        <v>0.98039223613712767</v>
      </c>
      <c r="G17">
        <f t="shared" si="3"/>
        <v>-4.3254990205785377E-4</v>
      </c>
      <c r="H17">
        <f t="shared" si="4"/>
        <v>-4.3254990205785377E-4</v>
      </c>
      <c r="J17">
        <f t="shared" si="5"/>
        <v>15</v>
      </c>
      <c r="M17">
        <f t="shared" si="6"/>
        <v>88.641015468536011</v>
      </c>
      <c r="N17">
        <f t="shared" si="7"/>
        <v>-1.5707963250000001</v>
      </c>
      <c r="O17">
        <f t="shared" si="8"/>
        <v>1.0000005180356604</v>
      </c>
      <c r="P17">
        <f t="shared" si="9"/>
        <v>1.0178756670694102E-3</v>
      </c>
      <c r="Q17">
        <f t="shared" si="10"/>
        <v>1.0000005735301318</v>
      </c>
      <c r="R17">
        <f t="shared" si="11"/>
        <v>1.0710087372670729E-3</v>
      </c>
      <c r="S17">
        <f t="shared" si="12"/>
        <v>0.99999999999749267</v>
      </c>
      <c r="T17">
        <f t="shared" si="13"/>
        <v>-2.2393272409162572E-6</v>
      </c>
      <c r="U17">
        <f t="shared" si="14"/>
        <v>0.99999999856499788</v>
      </c>
      <c r="V17">
        <f t="shared" si="15"/>
        <v>-5.3572421980327913E-5</v>
      </c>
      <c r="X17">
        <f t="shared" si="34"/>
        <v>62.30252637060633</v>
      </c>
      <c r="Y17">
        <f t="shared" si="16"/>
        <v>-89.90797280113037</v>
      </c>
      <c r="Z17">
        <f t="shared" si="35"/>
        <v>90.09202719886963</v>
      </c>
      <c r="AC17">
        <v>1</v>
      </c>
      <c r="AD17">
        <f t="shared" si="17"/>
        <v>1.0178760186E-3</v>
      </c>
      <c r="AE17">
        <f t="shared" si="18"/>
        <v>-5.7559532735610433E-11</v>
      </c>
      <c r="AF17">
        <f t="shared" si="19"/>
        <v>1.0744246863E-6</v>
      </c>
      <c r="AG17">
        <f t="shared" si="36"/>
        <v>897.5069226319074</v>
      </c>
      <c r="AH17">
        <f t="shared" si="37"/>
        <v>-930730.71050124755</v>
      </c>
      <c r="AJ17">
        <f t="shared" si="20"/>
        <v>10500</v>
      </c>
      <c r="AK17">
        <f t="shared" si="21"/>
        <v>2.3512936029660002E-2</v>
      </c>
      <c r="AL17">
        <v>1</v>
      </c>
      <c r="AM17">
        <f t="shared" si="22"/>
        <v>1.0710091467709202E-3</v>
      </c>
      <c r="AN17">
        <f t="shared" si="38"/>
        <v>10499.987981060134</v>
      </c>
      <c r="AO17">
        <f t="shared" si="39"/>
        <v>-11.222070232670474</v>
      </c>
      <c r="AQ17">
        <f t="shared" si="23"/>
        <v>9996.7610494199889</v>
      </c>
      <c r="AR17">
        <f t="shared" si="24"/>
        <v>-179.94169888955977</v>
      </c>
      <c r="AT17">
        <f t="shared" si="40"/>
        <v>-158505103.01053008</v>
      </c>
      <c r="AU17">
        <f t="shared" si="41"/>
        <v>-9304454013.158287</v>
      </c>
      <c r="AV17">
        <f t="shared" si="42"/>
        <v>-1.5878300799276335</v>
      </c>
      <c r="AW17">
        <f t="shared" si="25"/>
        <v>104974738.58821075</v>
      </c>
      <c r="AX17">
        <f t="shared" si="26"/>
        <v>-7818647.6356754042</v>
      </c>
      <c r="AY17">
        <f t="shared" si="50"/>
        <v>-7.4343959429587589E-2</v>
      </c>
      <c r="BA17">
        <f t="shared" si="27"/>
        <v>88.403165171765551</v>
      </c>
      <c r="BB17">
        <f t="shared" si="43"/>
        <v>38.929356293931939</v>
      </c>
      <c r="BC17">
        <f t="shared" si="44"/>
        <v>-1.5134861204980459</v>
      </c>
      <c r="BD17">
        <f t="shared" si="28"/>
        <v>-266.71636715525426</v>
      </c>
      <c r="BF17">
        <f t="shared" si="29"/>
        <v>62.279178742285964</v>
      </c>
      <c r="BG17">
        <f t="shared" si="30"/>
        <v>-86.740826439099308</v>
      </c>
      <c r="BH17">
        <f t="shared" si="45"/>
        <v>93.259173560900692</v>
      </c>
      <c r="BI17">
        <f t="shared" si="46"/>
        <v>93.259173560900692</v>
      </c>
      <c r="BJ17">
        <f t="shared" si="31"/>
        <v>0</v>
      </c>
      <c r="BK17">
        <f t="shared" si="47"/>
        <v>0</v>
      </c>
      <c r="BM17">
        <f t="shared" si="48"/>
        <v>23.349822448354033</v>
      </c>
      <c r="BN17">
        <f t="shared" si="32"/>
        <v>-2.4459283845034624E-2</v>
      </c>
      <c r="BQ17" s="56">
        <f t="shared" si="49"/>
        <v>55.83131709421707</v>
      </c>
      <c r="BR17" s="59"/>
      <c r="BS17" s="59"/>
      <c r="BT17" s="59">
        <v>117.49</v>
      </c>
      <c r="BU17" s="59">
        <v>33.0246</v>
      </c>
      <c r="BV17" s="59">
        <v>-264.9049</v>
      </c>
      <c r="BW17" s="61"/>
      <c r="BY17" s="59"/>
      <c r="BZ17" s="59"/>
      <c r="CA17" s="59"/>
      <c r="CC17" s="59"/>
    </row>
    <row r="18" spans="1:81" x14ac:dyDescent="0.2">
      <c r="A18">
        <v>10</v>
      </c>
      <c r="B18">
        <f t="shared" si="33"/>
        <v>0.01</v>
      </c>
      <c r="C18">
        <f t="shared" si="0"/>
        <v>1.0000000000197393</v>
      </c>
      <c r="D18">
        <f t="shared" si="1"/>
        <v>6.2831852999173176E-6</v>
      </c>
      <c r="F18">
        <f t="shared" si="2"/>
        <v>0.98039234491610505</v>
      </c>
      <c r="G18">
        <f t="shared" si="3"/>
        <v>-4.8061105912795615E-4</v>
      </c>
      <c r="H18">
        <f t="shared" si="4"/>
        <v>-4.8061105912795615E-4</v>
      </c>
      <c r="J18">
        <f t="shared" si="5"/>
        <v>15</v>
      </c>
      <c r="M18">
        <f t="shared" si="6"/>
        <v>79.776913921682407</v>
      </c>
      <c r="N18">
        <f t="shared" si="7"/>
        <v>-1.5707963250000001</v>
      </c>
      <c r="O18">
        <f t="shared" si="8"/>
        <v>1.0000006395501593</v>
      </c>
      <c r="P18">
        <f t="shared" si="9"/>
        <v>1.1309728717907566E-3</v>
      </c>
      <c r="Q18">
        <f t="shared" si="10"/>
        <v>1.0000007080618434</v>
      </c>
      <c r="R18">
        <f t="shared" si="11"/>
        <v>1.1900096013452185E-3</v>
      </c>
      <c r="S18">
        <f t="shared" si="12"/>
        <v>0.9999999999969047</v>
      </c>
      <c r="T18">
        <f t="shared" si="13"/>
        <v>-2.4881413787948654E-6</v>
      </c>
      <c r="U18">
        <f t="shared" si="14"/>
        <v>0.99999999822839247</v>
      </c>
      <c r="V18">
        <f t="shared" si="15"/>
        <v>-5.9524913298117852E-5</v>
      </c>
      <c r="X18">
        <f t="shared" si="34"/>
        <v>61.387379744223253</v>
      </c>
      <c r="Y18">
        <f t="shared" si="16"/>
        <v>-89.897747571432078</v>
      </c>
      <c r="Z18">
        <f t="shared" si="35"/>
        <v>90.102252428567922</v>
      </c>
      <c r="AC18">
        <v>1</v>
      </c>
      <c r="AD18">
        <f t="shared" si="17"/>
        <v>1.1309733540000001E-3</v>
      </c>
      <c r="AE18">
        <f t="shared" si="18"/>
        <v>-7.1061151525444974E-11</v>
      </c>
      <c r="AF18">
        <f t="shared" si="19"/>
        <v>1.1938052070000001E-6</v>
      </c>
      <c r="AG18">
        <f t="shared" si="36"/>
        <v>897.50692202769608</v>
      </c>
      <c r="AH18">
        <f t="shared" si="37"/>
        <v>-837657.64960168698</v>
      </c>
      <c r="AJ18">
        <f t="shared" si="20"/>
        <v>10500</v>
      </c>
      <c r="AK18">
        <f t="shared" si="21"/>
        <v>2.6125484477400002E-2</v>
      </c>
      <c r="AL18">
        <v>1</v>
      </c>
      <c r="AM18">
        <f t="shared" si="22"/>
        <v>1.1900101630788003E-3</v>
      </c>
      <c r="AN18">
        <f t="shared" si="38"/>
        <v>10499.98516180663</v>
      </c>
      <c r="AO18">
        <f t="shared" si="39"/>
        <v>-12.468963570249089</v>
      </c>
      <c r="AQ18">
        <f t="shared" si="23"/>
        <v>9996.0015993602556</v>
      </c>
      <c r="AR18">
        <f t="shared" si="24"/>
        <v>-199.92003198720514</v>
      </c>
      <c r="AT18">
        <f t="shared" si="40"/>
        <v>-158493063.47467059</v>
      </c>
      <c r="AU18">
        <f t="shared" si="41"/>
        <v>-8373406634.7473755</v>
      </c>
      <c r="AV18">
        <f t="shared" si="42"/>
        <v>-1.5897222128095545</v>
      </c>
      <c r="AW18">
        <f t="shared" si="25"/>
        <v>104966262.71048938</v>
      </c>
      <c r="AX18">
        <f t="shared" si="26"/>
        <v>-7459169.3090057131</v>
      </c>
      <c r="AY18">
        <f t="shared" si="50"/>
        <v>-7.0943282557378973E-2</v>
      </c>
      <c r="BA18">
        <f t="shared" si="27"/>
        <v>79.585953356015139</v>
      </c>
      <c r="BB18">
        <f t="shared" si="43"/>
        <v>38.016728460711136</v>
      </c>
      <c r="BC18">
        <f t="shared" si="44"/>
        <v>-1.5187789302521755</v>
      </c>
      <c r="BD18">
        <f t="shared" si="28"/>
        <v>-267.01962281627812</v>
      </c>
      <c r="BF18">
        <f t="shared" si="29"/>
        <v>61.366551872836645</v>
      </c>
      <c r="BG18">
        <f t="shared" si="30"/>
        <v>-87.046799801584896</v>
      </c>
      <c r="BH18">
        <f t="shared" si="45"/>
        <v>92.953200198415104</v>
      </c>
      <c r="BI18">
        <f t="shared" si="46"/>
        <v>92.953200198415104</v>
      </c>
      <c r="BJ18">
        <f t="shared" si="31"/>
        <v>0</v>
      </c>
      <c r="BK18">
        <f t="shared" si="47"/>
        <v>0</v>
      </c>
      <c r="BM18">
        <f t="shared" si="48"/>
        <v>23.349823412125513</v>
      </c>
      <c r="BN18">
        <f t="shared" si="32"/>
        <v>-2.7176985306814675E-2</v>
      </c>
      <c r="BQ18" s="56">
        <f t="shared" si="49"/>
        <v>54.918689260996274</v>
      </c>
      <c r="BR18" s="59"/>
      <c r="BS18" s="59"/>
      <c r="BT18" s="59">
        <v>120.226</v>
      </c>
      <c r="BU18" s="59">
        <v>33.735999999999997</v>
      </c>
      <c r="BV18" s="59">
        <v>-269.98079999999999</v>
      </c>
      <c r="BW18" s="61"/>
      <c r="BY18" s="59"/>
      <c r="BZ18" s="59"/>
      <c r="CA18" s="59"/>
      <c r="CC18" s="59"/>
    </row>
    <row r="19" spans="1:81" x14ac:dyDescent="0.2">
      <c r="A19">
        <f>A10*10</f>
        <v>20</v>
      </c>
      <c r="B19">
        <f t="shared" si="33"/>
        <v>0.02</v>
      </c>
      <c r="C19">
        <f t="shared" si="0"/>
        <v>1.0000000000789568</v>
      </c>
      <c r="D19">
        <f t="shared" si="1"/>
        <v>1.2566370599338535E-5</v>
      </c>
      <c r="F19">
        <f t="shared" si="2"/>
        <v>0.98039406248140981</v>
      </c>
      <c r="G19">
        <f t="shared" si="3"/>
        <v>-9.6122391325224508E-4</v>
      </c>
      <c r="H19">
        <f t="shared" si="4"/>
        <v>-9.6122391325224508E-4</v>
      </c>
      <c r="J19">
        <f t="shared" si="5"/>
        <v>15</v>
      </c>
      <c r="M19">
        <f t="shared" si="6"/>
        <v>39.888456960841204</v>
      </c>
      <c r="N19">
        <f t="shared" si="7"/>
        <v>-1.5707963250000001</v>
      </c>
      <c r="O19">
        <f t="shared" si="8"/>
        <v>1.0000025581981826</v>
      </c>
      <c r="P19">
        <f t="shared" si="9"/>
        <v>2.261942850334936E-3</v>
      </c>
      <c r="Q19">
        <f t="shared" si="10"/>
        <v>1.0000028322443657</v>
      </c>
      <c r="R19">
        <f t="shared" si="11"/>
        <v>2.3800158323004036E-3</v>
      </c>
      <c r="S19">
        <f t="shared" si="12"/>
        <v>0.99999999998761835</v>
      </c>
      <c r="T19">
        <f t="shared" si="13"/>
        <v>-4.9762827575589233E-6</v>
      </c>
      <c r="U19">
        <f t="shared" si="14"/>
        <v>0.99999999291356945</v>
      </c>
      <c r="V19">
        <f t="shared" si="15"/>
        <v>-1.1904982617441654E-4</v>
      </c>
      <c r="X19">
        <f t="shared" si="34"/>
        <v>55.366830117672087</v>
      </c>
      <c r="Y19">
        <f t="shared" si="16"/>
        <v>-89.795495604565701</v>
      </c>
      <c r="Z19">
        <f t="shared" si="35"/>
        <v>90.204504395434299</v>
      </c>
      <c r="AC19">
        <v>1</v>
      </c>
      <c r="AD19">
        <f t="shared" si="17"/>
        <v>2.2619467080000001E-3</v>
      </c>
      <c r="AE19">
        <f t="shared" si="18"/>
        <v>-2.842446061017799E-10</v>
      </c>
      <c r="AF19">
        <f t="shared" si="19"/>
        <v>2.3876104140000001E-6</v>
      </c>
      <c r="AG19">
        <f t="shared" si="36"/>
        <v>897.50691248751525</v>
      </c>
      <c r="AH19">
        <f t="shared" si="37"/>
        <v>-418828.90493687498</v>
      </c>
      <c r="AJ19">
        <f t="shared" si="20"/>
        <v>10500</v>
      </c>
      <c r="AK19">
        <f t="shared" si="21"/>
        <v>5.2250968954800005E-2</v>
      </c>
      <c r="AL19">
        <v>1</v>
      </c>
      <c r="AM19">
        <f t="shared" si="22"/>
        <v>2.3800203261576005E-3</v>
      </c>
      <c r="AN19">
        <f t="shared" si="38"/>
        <v>10499.940647478665</v>
      </c>
      <c r="AO19">
        <f t="shared" si="39"/>
        <v>-24.937821195492816</v>
      </c>
      <c r="AQ19">
        <f t="shared" si="23"/>
        <v>9984.0255591054301</v>
      </c>
      <c r="AR19">
        <f t="shared" si="24"/>
        <v>-399.36102236421721</v>
      </c>
      <c r="AT19">
        <f t="shared" si="40"/>
        <v>-158303207.71752679</v>
      </c>
      <c r="AU19">
        <f t="shared" si="41"/>
        <v>-4181956921.0600486</v>
      </c>
      <c r="AV19">
        <f t="shared" si="42"/>
        <v>-1.608632120894026</v>
      </c>
      <c r="AW19">
        <f t="shared" si="25"/>
        <v>104832603.59179331</v>
      </c>
      <c r="AX19">
        <f t="shared" si="26"/>
        <v>-7059951.2312792409</v>
      </c>
      <c r="AY19">
        <f t="shared" si="50"/>
        <v>-6.7243460782629827E-2</v>
      </c>
      <c r="BA19">
        <f t="shared" si="27"/>
        <v>39.830109626531069</v>
      </c>
      <c r="BB19">
        <f t="shared" si="43"/>
        <v>32.004230034855901</v>
      </c>
      <c r="BC19">
        <f t="shared" si="44"/>
        <v>-1.5413886601113962</v>
      </c>
      <c r="BD19">
        <f t="shared" si="28"/>
        <v>-268.31506491462261</v>
      </c>
      <c r="BF19">
        <f t="shared" si="29"/>
        <v>55.354068664433854</v>
      </c>
      <c r="BG19">
        <f t="shared" si="30"/>
        <v>-88.369418988081989</v>
      </c>
      <c r="BH19">
        <f t="shared" si="45"/>
        <v>91.630581011918011</v>
      </c>
      <c r="BI19">
        <f t="shared" si="46"/>
        <v>91.630581011918011</v>
      </c>
      <c r="BJ19">
        <f t="shared" si="31"/>
        <v>0</v>
      </c>
      <c r="BK19">
        <f t="shared" si="47"/>
        <v>0</v>
      </c>
      <c r="BM19">
        <f t="shared" si="48"/>
        <v>23.349838629577956</v>
      </c>
      <c r="BN19">
        <f t="shared" si="32"/>
        <v>-5.4354073459372008E-2</v>
      </c>
      <c r="BQ19" s="56">
        <f t="shared" si="49"/>
        <v>48.906190835141039</v>
      </c>
      <c r="BR19" s="59"/>
      <c r="BS19" s="59"/>
      <c r="BT19" s="59">
        <v>123.027</v>
      </c>
      <c r="BU19" s="59">
        <v>32.764899999999997</v>
      </c>
      <c r="BV19" s="59">
        <v>-265.73410000000001</v>
      </c>
      <c r="BW19" s="61"/>
      <c r="BY19" s="59"/>
      <c r="BZ19" s="59"/>
      <c r="CA19" s="59"/>
      <c r="CC19" s="59"/>
    </row>
    <row r="20" spans="1:81" x14ac:dyDescent="0.2">
      <c r="A20">
        <f t="shared" ref="A20:A36" si="51">A11*10</f>
        <v>30</v>
      </c>
      <c r="B20">
        <f t="shared" si="33"/>
        <v>0.03</v>
      </c>
      <c r="C20">
        <f t="shared" si="0"/>
        <v>1.000000000177653</v>
      </c>
      <c r="D20">
        <f t="shared" si="1"/>
        <v>1.8849555897767548E-5</v>
      </c>
      <c r="F20">
        <f t="shared" si="2"/>
        <v>0.98039692510071808</v>
      </c>
      <c r="G20">
        <f t="shared" si="3"/>
        <v>-1.4418403573887132E-3</v>
      </c>
      <c r="H20">
        <f t="shared" si="4"/>
        <v>-1.4418403573887132E-3</v>
      </c>
      <c r="J20">
        <f t="shared" si="5"/>
        <v>15</v>
      </c>
      <c r="M20">
        <f t="shared" si="6"/>
        <v>26.592304640560801</v>
      </c>
      <c r="N20">
        <f t="shared" si="7"/>
        <v>-1.5707963250000001</v>
      </c>
      <c r="O20">
        <f t="shared" si="8"/>
        <v>1.0000057559367082</v>
      </c>
      <c r="P20">
        <f t="shared" si="9"/>
        <v>3.3929070424303688E-3</v>
      </c>
      <c r="Q20">
        <f t="shared" si="10"/>
        <v>1.0000063725385424</v>
      </c>
      <c r="R20">
        <f t="shared" si="11"/>
        <v>3.5700153225327953E-3</v>
      </c>
      <c r="S20">
        <f t="shared" si="12"/>
        <v>0.99999999997214117</v>
      </c>
      <c r="T20">
        <f t="shared" si="13"/>
        <v>-7.4644241362613676E-6</v>
      </c>
      <c r="U20">
        <f t="shared" si="14"/>
        <v>0.99999998405553159</v>
      </c>
      <c r="V20">
        <f t="shared" si="15"/>
        <v>-1.785747382070769E-4</v>
      </c>
      <c r="X20">
        <f t="shared" si="34"/>
        <v>51.845088747489768</v>
      </c>
      <c r="Y20">
        <f t="shared" si="16"/>
        <v>-89.693244561097629</v>
      </c>
      <c r="Z20">
        <f t="shared" si="35"/>
        <v>90.306755438902371</v>
      </c>
      <c r="AC20">
        <v>1</v>
      </c>
      <c r="AD20">
        <f t="shared" si="17"/>
        <v>3.3929200620000004E-3</v>
      </c>
      <c r="AE20">
        <f t="shared" si="18"/>
        <v>-6.3955036372900483E-10</v>
      </c>
      <c r="AF20">
        <f t="shared" si="19"/>
        <v>3.5814156209999999E-6</v>
      </c>
      <c r="AG20">
        <f t="shared" si="36"/>
        <v>897.50689658721467</v>
      </c>
      <c r="AH20">
        <f t="shared" si="37"/>
        <v>-279219.35899794922</v>
      </c>
      <c r="AJ20">
        <f t="shared" si="20"/>
        <v>10500</v>
      </c>
      <c r="AK20">
        <f t="shared" si="21"/>
        <v>7.8376453432200011E-2</v>
      </c>
      <c r="AL20">
        <v>1</v>
      </c>
      <c r="AM20">
        <f t="shared" si="22"/>
        <v>3.5700304892364006E-3</v>
      </c>
      <c r="AN20">
        <f t="shared" si="38"/>
        <v>10499.86645777255</v>
      </c>
      <c r="AO20">
        <f t="shared" si="39"/>
        <v>-37.406466933726414</v>
      </c>
      <c r="AQ20">
        <f t="shared" si="23"/>
        <v>9964.1291351135915</v>
      </c>
      <c r="AR20">
        <f t="shared" si="24"/>
        <v>-597.8477481068154</v>
      </c>
      <c r="AT20">
        <f t="shared" si="40"/>
        <v>-157987790.38750234</v>
      </c>
      <c r="AU20">
        <f t="shared" si="41"/>
        <v>-2782714322.5562425</v>
      </c>
      <c r="AV20">
        <f t="shared" si="42"/>
        <v>-1.6275101496118811</v>
      </c>
      <c r="AW20">
        <f t="shared" si="25"/>
        <v>104610548.83444655</v>
      </c>
      <c r="AX20">
        <f t="shared" si="26"/>
        <v>-8395200.9269151781</v>
      </c>
      <c r="AY20">
        <f t="shared" si="50"/>
        <v>-8.0080332194300136E-2</v>
      </c>
      <c r="BA20">
        <f t="shared" si="27"/>
        <v>26.558157169479685</v>
      </c>
      <c r="BB20">
        <f t="shared" si="43"/>
        <v>28.483958734030818</v>
      </c>
      <c r="BC20">
        <f t="shared" si="44"/>
        <v>-1.5474298174175809</v>
      </c>
      <c r="BD20">
        <f t="shared" si="28"/>
        <v>-268.66119773203712</v>
      </c>
      <c r="BF20">
        <f t="shared" si="29"/>
        <v>51.833822726063012</v>
      </c>
      <c r="BG20">
        <f t="shared" si="30"/>
        <v>-88.742729099341659</v>
      </c>
      <c r="BH20">
        <f t="shared" si="45"/>
        <v>91.257270900658341</v>
      </c>
      <c r="BI20">
        <f t="shared" si="46"/>
        <v>91.257270900658341</v>
      </c>
      <c r="BJ20">
        <f t="shared" si="31"/>
        <v>0</v>
      </c>
      <c r="BK20">
        <f t="shared" si="47"/>
        <v>0</v>
      </c>
      <c r="BM20">
        <f t="shared" si="48"/>
        <v>23.349863992032198</v>
      </c>
      <c r="BN20">
        <f t="shared" si="32"/>
        <v>-8.1531367304532698E-2</v>
      </c>
      <c r="BQ20" s="56">
        <f t="shared" si="49"/>
        <v>45.385919534315953</v>
      </c>
      <c r="BR20" s="59"/>
      <c r="BS20" s="59"/>
      <c r="BT20" s="59">
        <v>125.893</v>
      </c>
      <c r="BU20" s="59">
        <v>32.247199999999999</v>
      </c>
      <c r="BV20" s="59">
        <v>-266.37110000000001</v>
      </c>
      <c r="BW20" s="61"/>
      <c r="BY20" s="59"/>
      <c r="BZ20" s="59"/>
      <c r="CA20" s="59"/>
      <c r="CC20" s="59"/>
    </row>
    <row r="21" spans="1:81" x14ac:dyDescent="0.2">
      <c r="A21">
        <f t="shared" si="51"/>
        <v>40</v>
      </c>
      <c r="B21">
        <f t="shared" si="33"/>
        <v>0.04</v>
      </c>
      <c r="C21">
        <f t="shared" si="0"/>
        <v>1.0000000003158274</v>
      </c>
      <c r="D21">
        <f t="shared" si="1"/>
        <v>2.5132741194708266E-5</v>
      </c>
      <c r="F21">
        <f t="shared" si="2"/>
        <v>0.98040093278973051</v>
      </c>
      <c r="G21">
        <f t="shared" si="3"/>
        <v>-1.9224621865922369E-3</v>
      </c>
      <c r="H21">
        <f t="shared" si="4"/>
        <v>-1.9224621865922369E-3</v>
      </c>
      <c r="J21">
        <f t="shared" si="5"/>
        <v>15</v>
      </c>
      <c r="M21">
        <f t="shared" si="6"/>
        <v>19.944228480420602</v>
      </c>
      <c r="N21">
        <f t="shared" si="7"/>
        <v>-1.5707963250000001</v>
      </c>
      <c r="O21">
        <f t="shared" si="8"/>
        <v>1.000010232753465</v>
      </c>
      <c r="P21">
        <f t="shared" si="9"/>
        <v>4.5238625549637026E-3</v>
      </c>
      <c r="Q21">
        <f t="shared" si="10"/>
        <v>1.0000113289293335</v>
      </c>
      <c r="R21">
        <f t="shared" si="11"/>
        <v>4.7600047018241803E-3</v>
      </c>
      <c r="S21">
        <f t="shared" si="12"/>
        <v>0.99999999995047317</v>
      </c>
      <c r="T21">
        <f t="shared" si="13"/>
        <v>-9.9525655148713888E-6</v>
      </c>
      <c r="U21">
        <f t="shared" si="14"/>
        <v>0.99999997165427856</v>
      </c>
      <c r="V21">
        <f t="shared" si="15"/>
        <v>-2.3809964897427986E-4</v>
      </c>
      <c r="X21">
        <f t="shared" si="34"/>
        <v>49.346431350033711</v>
      </c>
      <c r="Y21">
        <f t="shared" si="16"/>
        <v>-89.590994902715266</v>
      </c>
      <c r="Z21">
        <f t="shared" si="35"/>
        <v>90.409005097284734</v>
      </c>
      <c r="AC21">
        <v>1</v>
      </c>
      <c r="AD21">
        <f t="shared" si="17"/>
        <v>4.5238934160000003E-3</v>
      </c>
      <c r="AE21">
        <f t="shared" si="18"/>
        <v>-1.1369784244071196E-9</v>
      </c>
      <c r="AF21">
        <f t="shared" si="19"/>
        <v>4.7752208280000002E-6</v>
      </c>
      <c r="AG21">
        <f t="shared" si="36"/>
        <v>897.50687432679467</v>
      </c>
      <c r="AH21">
        <f t="shared" si="37"/>
        <v>-209414.61274049204</v>
      </c>
      <c r="AJ21">
        <f t="shared" si="20"/>
        <v>10500</v>
      </c>
      <c r="AK21">
        <f t="shared" si="21"/>
        <v>0.10450193790960001</v>
      </c>
      <c r="AL21">
        <v>1</v>
      </c>
      <c r="AM21">
        <f t="shared" si="22"/>
        <v>4.7600406523152011E-3</v>
      </c>
      <c r="AN21">
        <f t="shared" si="38"/>
        <v>10499.762593948994</v>
      </c>
      <c r="AO21">
        <f t="shared" si="39"/>
        <v>-49.874794848946109</v>
      </c>
      <c r="AQ21">
        <f t="shared" si="23"/>
        <v>9936.4069952305254</v>
      </c>
      <c r="AR21">
        <f t="shared" si="24"/>
        <v>-794.91255961844195</v>
      </c>
      <c r="AT21">
        <f t="shared" si="40"/>
        <v>-157548312.25072107</v>
      </c>
      <c r="AU21">
        <f t="shared" si="41"/>
        <v>-2081542262.4248629</v>
      </c>
      <c r="AV21">
        <f t="shared" si="42"/>
        <v>-1.6463405496011443</v>
      </c>
      <c r="AW21">
        <f t="shared" si="25"/>
        <v>104301155.20453806</v>
      </c>
      <c r="AX21">
        <f t="shared" si="26"/>
        <v>-10150858.147125145</v>
      </c>
      <c r="AY21">
        <f t="shared" si="50"/>
        <v>-9.7017050837510915E-2</v>
      </c>
      <c r="BA21">
        <f t="shared" si="27"/>
        <v>19.920006137507698</v>
      </c>
      <c r="BB21">
        <f t="shared" si="43"/>
        <v>25.985789357943677</v>
      </c>
      <c r="BC21">
        <f t="shared" si="44"/>
        <v>-1.5493234987636333</v>
      </c>
      <c r="BD21">
        <f t="shared" si="28"/>
        <v>-268.7696976810326</v>
      </c>
      <c r="BF21">
        <f t="shared" si="29"/>
        <v>49.335688857482126</v>
      </c>
      <c r="BG21">
        <f t="shared" si="30"/>
        <v>-88.87840665072396</v>
      </c>
      <c r="BH21">
        <f t="shared" si="45"/>
        <v>91.12159334927604</v>
      </c>
      <c r="BI21">
        <f t="shared" si="46"/>
        <v>91.12159334927604</v>
      </c>
      <c r="BJ21">
        <f t="shared" si="31"/>
        <v>0</v>
      </c>
      <c r="BK21">
        <f t="shared" si="47"/>
        <v>0</v>
      </c>
      <c r="BM21">
        <f t="shared" si="48"/>
        <v>23.349899499538456</v>
      </c>
      <c r="BN21">
        <f t="shared" si="32"/>
        <v>-0.10870896969139368</v>
      </c>
      <c r="BQ21" s="56">
        <f t="shared" si="49"/>
        <v>42.887750158228812</v>
      </c>
      <c r="BR21" s="59"/>
      <c r="BS21" s="59"/>
      <c r="BT21" s="59">
        <v>128.82499999999999</v>
      </c>
      <c r="BU21" s="59">
        <v>32.3142</v>
      </c>
      <c r="BV21" s="59">
        <v>-268.05959999999999</v>
      </c>
      <c r="BW21" s="61"/>
      <c r="BY21" s="59"/>
      <c r="BZ21" s="59"/>
      <c r="CA21" s="59"/>
      <c r="CC21" s="59"/>
    </row>
    <row r="22" spans="1:81" x14ac:dyDescent="0.2">
      <c r="A22">
        <f t="shared" si="51"/>
        <v>50</v>
      </c>
      <c r="B22">
        <f t="shared" si="33"/>
        <v>0.05</v>
      </c>
      <c r="C22">
        <f t="shared" si="0"/>
        <v>1.0000000004934801</v>
      </c>
      <c r="D22">
        <f t="shared" si="1"/>
        <v>3.1415926489664573E-5</v>
      </c>
      <c r="F22">
        <f t="shared" si="2"/>
        <v>0.9804060855704283</v>
      </c>
      <c r="G22">
        <f t="shared" si="3"/>
        <v>-2.4030911959762348E-3</v>
      </c>
      <c r="H22">
        <f t="shared" si="4"/>
        <v>-2.4030911959762348E-3</v>
      </c>
      <c r="J22">
        <f t="shared" si="5"/>
        <v>15</v>
      </c>
      <c r="M22">
        <f t="shared" si="6"/>
        <v>15.955382784336482</v>
      </c>
      <c r="N22">
        <f t="shared" si="7"/>
        <v>-1.5707963250000001</v>
      </c>
      <c r="O22">
        <f t="shared" si="8"/>
        <v>1.0000159886312752</v>
      </c>
      <c r="P22">
        <f t="shared" si="9"/>
        <v>5.6548064949548029E-3</v>
      </c>
      <c r="Q22">
        <f t="shared" si="10"/>
        <v>1.0000177013956832</v>
      </c>
      <c r="R22">
        <f t="shared" si="11"/>
        <v>5.949980600128156E-3</v>
      </c>
      <c r="S22">
        <f t="shared" si="12"/>
        <v>0.99999999992261435</v>
      </c>
      <c r="T22">
        <f t="shared" si="13"/>
        <v>-1.2440706893358181E-5</v>
      </c>
      <c r="U22">
        <f t="shared" si="14"/>
        <v>0.99999995570981159</v>
      </c>
      <c r="V22">
        <f t="shared" si="15"/>
        <v>-2.9762455805420633E-4</v>
      </c>
      <c r="X22">
        <f t="shared" si="34"/>
        <v>47.408381947767339</v>
      </c>
      <c r="Y22">
        <f t="shared" si="16"/>
        <v>-89.488747091091895</v>
      </c>
      <c r="Z22">
        <f t="shared" si="35"/>
        <v>90.511252908908105</v>
      </c>
      <c r="AC22">
        <v>1</v>
      </c>
      <c r="AD22">
        <f t="shared" si="17"/>
        <v>5.6548667700000001E-3</v>
      </c>
      <c r="AE22">
        <f t="shared" si="18"/>
        <v>-1.7765287881361243E-9</v>
      </c>
      <c r="AF22">
        <f t="shared" si="19"/>
        <v>5.9690260349999996E-6</v>
      </c>
      <c r="AG22">
        <f t="shared" si="36"/>
        <v>897.5068457062564</v>
      </c>
      <c r="AH22">
        <f t="shared" si="37"/>
        <v>-167531.78635561926</v>
      </c>
      <c r="AJ22">
        <f t="shared" si="20"/>
        <v>10500</v>
      </c>
      <c r="AK22">
        <f t="shared" si="21"/>
        <v>0.13062742238700004</v>
      </c>
      <c r="AL22">
        <v>1</v>
      </c>
      <c r="AM22">
        <f t="shared" si="22"/>
        <v>5.9500508153940007E-3</v>
      </c>
      <c r="AN22">
        <f t="shared" si="38"/>
        <v>10499.629057772898</v>
      </c>
      <c r="AO22">
        <f t="shared" si="39"/>
        <v>-62.342699014149169</v>
      </c>
      <c r="AQ22">
        <f t="shared" si="23"/>
        <v>9900.9900990099013</v>
      </c>
      <c r="AR22">
        <f t="shared" si="24"/>
        <v>-990.09900990099004</v>
      </c>
      <c r="AT22">
        <f t="shared" ref="AT22:AT85" si="52">-AR22*AH22+AG22*AQ22</f>
        <v>-156986849.40451157</v>
      </c>
      <c r="AU22">
        <f t="shared" ref="AU22:AU85" si="53">AQ22*AH22+AG22*AR22</f>
        <v>-1659619178.6157415</v>
      </c>
      <c r="AV22">
        <f t="shared" si="42"/>
        <v>-1.6651077973491579</v>
      </c>
      <c r="AW22">
        <f t="shared" si="25"/>
        <v>103905884.58823346</v>
      </c>
      <c r="AX22">
        <f t="shared" si="26"/>
        <v>-12060059.691727493</v>
      </c>
      <c r="AY22">
        <f t="shared" si="50"/>
        <v>-0.11555011807181152</v>
      </c>
      <c r="BA22">
        <f t="shared" si="27"/>
        <v>15.936642577219727</v>
      </c>
      <c r="BB22">
        <f t="shared" si="43"/>
        <v>24.047936650149872</v>
      </c>
      <c r="BC22">
        <f t="shared" si="44"/>
        <v>-1.5495576792773464</v>
      </c>
      <c r="BD22">
        <f t="shared" si="28"/>
        <v>-268.78311523612786</v>
      </c>
      <c r="BF22">
        <f t="shared" si="29"/>
        <v>47.397881802316952</v>
      </c>
      <c r="BG22">
        <f t="shared" si="30"/>
        <v>-88.919002219600287</v>
      </c>
      <c r="BH22">
        <f t="shared" si="45"/>
        <v>91.080997780399713</v>
      </c>
      <c r="BI22">
        <f t="shared" si="46"/>
        <v>91.080997780399713</v>
      </c>
      <c r="BJ22">
        <f t="shared" si="31"/>
        <v>0</v>
      </c>
      <c r="BK22">
        <f t="shared" si="47"/>
        <v>0</v>
      </c>
      <c r="BM22">
        <f t="shared" si="48"/>
        <v>23.349945152167081</v>
      </c>
      <c r="BN22">
        <f t="shared" si="32"/>
        <v>-0.13588698347240616</v>
      </c>
      <c r="BQ22" s="56">
        <f t="shared" si="49"/>
        <v>40.949897450435003</v>
      </c>
      <c r="BR22" s="59"/>
      <c r="BS22" s="59"/>
      <c r="BT22" s="59">
        <v>131.82599999999999</v>
      </c>
      <c r="BU22" s="59">
        <v>32.155799999999999</v>
      </c>
      <c r="BV22" s="59">
        <v>-263.3605</v>
      </c>
      <c r="BW22" s="61"/>
      <c r="BY22" s="59"/>
      <c r="BZ22" s="59"/>
      <c r="CA22" s="59"/>
      <c r="CC22" s="59"/>
    </row>
    <row r="23" spans="1:81" x14ac:dyDescent="0.2">
      <c r="A23">
        <f t="shared" si="51"/>
        <v>60</v>
      </c>
      <c r="B23">
        <f t="shared" si="33"/>
        <v>0.06</v>
      </c>
      <c r="C23">
        <f t="shared" si="0"/>
        <v>1.0000000007106116</v>
      </c>
      <c r="D23">
        <f t="shared" si="1"/>
        <v>3.7699111782140387E-5</v>
      </c>
      <c r="F23">
        <f t="shared" si="2"/>
        <v>0.98041238347107285</v>
      </c>
      <c r="G23">
        <f t="shared" si="3"/>
        <v>-2.883729180732186E-3</v>
      </c>
      <c r="H23">
        <f t="shared" si="4"/>
        <v>-2.883729180732186E-3</v>
      </c>
      <c r="J23">
        <f t="shared" si="5"/>
        <v>15</v>
      </c>
      <c r="M23">
        <f t="shared" si="6"/>
        <v>13.296152320280401</v>
      </c>
      <c r="N23">
        <f t="shared" si="7"/>
        <v>-1.5707963250000001</v>
      </c>
      <c r="O23">
        <f t="shared" si="8"/>
        <v>1.0000230235480523</v>
      </c>
      <c r="P23">
        <f t="shared" si="9"/>
        <v>6.785735969601153E-3</v>
      </c>
      <c r="Q23">
        <f t="shared" si="10"/>
        <v>1.0000254899105203</v>
      </c>
      <c r="R23">
        <f t="shared" si="11"/>
        <v>7.1399396476273958E-3</v>
      </c>
      <c r="S23">
        <f t="shared" si="12"/>
        <v>0.99999999988856469</v>
      </c>
      <c r="T23">
        <f t="shared" si="13"/>
        <v>-1.4928848271690935E-5</v>
      </c>
      <c r="U23">
        <f t="shared" si="14"/>
        <v>0.99999993622213046</v>
      </c>
      <c r="V23">
        <f t="shared" si="15"/>
        <v>-3.5714946502503732E-4</v>
      </c>
      <c r="X23">
        <f t="shared" si="34"/>
        <v>45.824941407130893</v>
      </c>
      <c r="Y23">
        <f t="shared" si="16"/>
        <v>-89.386501587881938</v>
      </c>
      <c r="Z23">
        <f t="shared" si="35"/>
        <v>90.613498412118062</v>
      </c>
      <c r="AC23">
        <v>1</v>
      </c>
      <c r="AD23">
        <f t="shared" si="17"/>
        <v>6.7858401240000008E-3</v>
      </c>
      <c r="AE23">
        <f t="shared" si="18"/>
        <v>-2.5582014549160193E-9</v>
      </c>
      <c r="AF23">
        <f t="shared" si="19"/>
        <v>7.1628312419999999E-6</v>
      </c>
      <c r="AG23">
        <f t="shared" si="36"/>
        <v>897.50681072560087</v>
      </c>
      <c r="AH23">
        <f t="shared" si="37"/>
        <v>-139609.9199070351</v>
      </c>
      <c r="AJ23">
        <f t="shared" si="20"/>
        <v>10500</v>
      </c>
      <c r="AK23">
        <f t="shared" si="21"/>
        <v>0.15675290686440002</v>
      </c>
      <c r="AL23">
        <v>1</v>
      </c>
      <c r="AM23">
        <f t="shared" si="22"/>
        <v>7.1400609784728012E-3</v>
      </c>
      <c r="AN23">
        <f t="shared" si="38"/>
        <v>10499.465851513303</v>
      </c>
      <c r="AO23">
        <f t="shared" si="39"/>
        <v>-74.810073514333439</v>
      </c>
      <c r="AQ23">
        <f t="shared" si="23"/>
        <v>9858.0441640378558</v>
      </c>
      <c r="AR23">
        <f t="shared" si="24"/>
        <v>-1182.9652996845425</v>
      </c>
      <c r="AT23">
        <f t="shared" si="52"/>
        <v>-156306028.96410301</v>
      </c>
      <c r="AU23">
        <f t="shared" si="53"/>
        <v>-1377342475.5946586</v>
      </c>
      <c r="AV23">
        <f t="shared" si="42"/>
        <v>-1.6837966663086588</v>
      </c>
      <c r="AW23">
        <f t="shared" si="25"/>
        <v>103426586.87152298</v>
      </c>
      <c r="AX23">
        <f t="shared" si="26"/>
        <v>-14030617.870736279</v>
      </c>
      <c r="AY23">
        <f t="shared" si="50"/>
        <v>-0.13483464675582807</v>
      </c>
      <c r="BA23">
        <f t="shared" si="27"/>
        <v>13.280933389080881</v>
      </c>
      <c r="BB23">
        <f t="shared" si="43"/>
        <v>22.464571969739872</v>
      </c>
      <c r="BC23">
        <f t="shared" si="44"/>
        <v>-1.5489620195528306</v>
      </c>
      <c r="BD23">
        <f t="shared" si="28"/>
        <v>-268.74898644784821</v>
      </c>
      <c r="BF23">
        <f t="shared" si="29"/>
        <v>45.814572919748358</v>
      </c>
      <c r="BG23">
        <f t="shared" si="30"/>
        <v>-88.912051959352681</v>
      </c>
      <c r="BH23">
        <f t="shared" si="45"/>
        <v>91.087948040647319</v>
      </c>
      <c r="BI23">
        <f t="shared" si="46"/>
        <v>91.087948040647319</v>
      </c>
      <c r="BJ23">
        <f t="shared" si="31"/>
        <v>0</v>
      </c>
      <c r="BK23">
        <f t="shared" si="47"/>
        <v>0</v>
      </c>
      <c r="BM23">
        <f t="shared" si="48"/>
        <v>23.350000950008486</v>
      </c>
      <c r="BN23">
        <f t="shared" si="32"/>
        <v>-0.1630655115044938</v>
      </c>
      <c r="BQ23" s="56">
        <f t="shared" si="49"/>
        <v>39.366532770025003</v>
      </c>
      <c r="BR23" s="58"/>
      <c r="BS23" s="58"/>
      <c r="BT23" s="58">
        <v>134.89599999999999</v>
      </c>
      <c r="BU23" s="58">
        <v>32.875300000000003</v>
      </c>
      <c r="BV23" s="58">
        <v>-269.46539999999999</v>
      </c>
      <c r="BW23" s="61"/>
      <c r="BY23" s="58"/>
      <c r="BZ23" s="58"/>
      <c r="CA23" s="58"/>
      <c r="CC23" s="58"/>
    </row>
    <row r="24" spans="1:81" x14ac:dyDescent="0.2">
      <c r="A24">
        <f t="shared" si="51"/>
        <v>70</v>
      </c>
      <c r="B24">
        <f t="shared" si="33"/>
        <v>7.0000000000000007E-2</v>
      </c>
      <c r="C24">
        <f t="shared" si="0"/>
        <v>1.0000000009672212</v>
      </c>
      <c r="D24">
        <f t="shared" si="1"/>
        <v>4.39822970716396E-5</v>
      </c>
      <c r="F24">
        <f t="shared" si="2"/>
        <v>0.98041982652620641</v>
      </c>
      <c r="G24">
        <f t="shared" si="3"/>
        <v>-3.3643779361491499E-3</v>
      </c>
      <c r="H24">
        <f t="shared" si="4"/>
        <v>-3.3643779361491499E-3</v>
      </c>
      <c r="J24">
        <f t="shared" si="5"/>
        <v>15</v>
      </c>
      <c r="M24">
        <f t="shared" si="6"/>
        <v>11.396701988811772</v>
      </c>
      <c r="N24">
        <f t="shared" si="7"/>
        <v>-1.5707963250000001</v>
      </c>
      <c r="O24">
        <f t="shared" si="8"/>
        <v>1.0000313374768039</v>
      </c>
      <c r="P24">
        <f t="shared" si="9"/>
        <v>7.9166480863222463E-3</v>
      </c>
      <c r="Q24">
        <f t="shared" si="10"/>
        <v>1.0000346944407597</v>
      </c>
      <c r="R24">
        <f t="shared" si="11"/>
        <v>8.3298784747908913E-3</v>
      </c>
      <c r="S24">
        <f t="shared" si="12"/>
        <v>0.99999999984832422</v>
      </c>
      <c r="T24">
        <f t="shared" si="13"/>
        <v>-1.7416989649838845E-5</v>
      </c>
      <c r="U24">
        <f t="shared" si="14"/>
        <v>0.99999991319123605</v>
      </c>
      <c r="V24">
        <f t="shared" si="15"/>
        <v>-4.1667436946495404E-4</v>
      </c>
      <c r="X24">
        <f t="shared" si="34"/>
        <v>44.48622351632288</v>
      </c>
      <c r="Y24">
        <f t="shared" si="16"/>
        <v>-89.284258854716327</v>
      </c>
      <c r="Z24">
        <f t="shared" si="35"/>
        <v>90.715741145283673</v>
      </c>
      <c r="AC24">
        <v>1</v>
      </c>
      <c r="AD24">
        <f t="shared" si="17"/>
        <v>7.9168134780000007E-3</v>
      </c>
      <c r="AE24">
        <f t="shared" si="18"/>
        <v>-3.4819964247468044E-9</v>
      </c>
      <c r="AF24">
        <f t="shared" si="19"/>
        <v>8.356636449000001E-6</v>
      </c>
      <c r="AG24">
        <f t="shared" si="36"/>
        <v>897.50676938482945</v>
      </c>
      <c r="AH24">
        <f t="shared" si="37"/>
        <v>-119665.74485061245</v>
      </c>
      <c r="AJ24">
        <f t="shared" si="20"/>
        <v>10500</v>
      </c>
      <c r="AK24">
        <f t="shared" si="21"/>
        <v>0.18287839134180001</v>
      </c>
      <c r="AL24">
        <v>1</v>
      </c>
      <c r="AM24">
        <f t="shared" si="22"/>
        <v>8.3300711415516E-3</v>
      </c>
      <c r="AN24">
        <f t="shared" si="38"/>
        <v>10499.272977943287</v>
      </c>
      <c r="AO24">
        <f t="shared" si="39"/>
        <v>-87.276812449496106</v>
      </c>
      <c r="AQ24">
        <f t="shared" si="23"/>
        <v>9807.7677520596299</v>
      </c>
      <c r="AR24">
        <f t="shared" si="24"/>
        <v>-1373.0874852883483</v>
      </c>
      <c r="AT24">
        <f t="shared" si="52"/>
        <v>-155508998.72205681</v>
      </c>
      <c r="AU24">
        <f t="shared" si="53"/>
        <v>-1174886188.6850362</v>
      </c>
      <c r="AV24">
        <f t="shared" si="42"/>
        <v>-1.7023922945601107</v>
      </c>
      <c r="AW24">
        <f t="shared" si="25"/>
        <v>102865478.57586099</v>
      </c>
      <c r="AX24">
        <f t="shared" si="26"/>
        <v>-16020404.88536058</v>
      </c>
      <c r="AY24">
        <f t="shared" si="50"/>
        <v>-0.15450014137478404</v>
      </c>
      <c r="BA24">
        <f t="shared" si="27"/>
        <v>11.383960404832242</v>
      </c>
      <c r="BB24">
        <f t="shared" si="43"/>
        <v>21.125867530715048</v>
      </c>
      <c r="BC24">
        <f t="shared" si="44"/>
        <v>-1.5478921531853267</v>
      </c>
      <c r="BD24">
        <f t="shared" si="28"/>
        <v>-268.68768762027719</v>
      </c>
      <c r="BF24">
        <f t="shared" si="29"/>
        <v>44.475934423888248</v>
      </c>
      <c r="BG24">
        <f t="shared" si="30"/>
        <v>-88.877932276927353</v>
      </c>
      <c r="BH24">
        <f t="shared" si="45"/>
        <v>91.122067723072647</v>
      </c>
      <c r="BI24">
        <f t="shared" si="46"/>
        <v>91.122067723072647</v>
      </c>
      <c r="BJ24">
        <f t="shared" si="31"/>
        <v>0</v>
      </c>
      <c r="BK24">
        <f t="shared" si="47"/>
        <v>0</v>
      </c>
      <c r="BM24">
        <f t="shared" si="48"/>
        <v>23.350066893173192</v>
      </c>
      <c r="BN24">
        <f t="shared" si="32"/>
        <v>-0.19024465665017129</v>
      </c>
      <c r="BQ24" s="56">
        <f t="shared" si="49"/>
        <v>38.027828331000187</v>
      </c>
      <c r="BR24" s="58"/>
      <c r="BS24" s="58"/>
      <c r="BT24" s="58">
        <v>138.03800000000001</v>
      </c>
      <c r="BU24" s="58">
        <v>32.538699999999999</v>
      </c>
      <c r="BV24" s="58">
        <v>-267.95069999999998</v>
      </c>
      <c r="BW24" s="61"/>
      <c r="BY24" s="58"/>
      <c r="BZ24" s="58"/>
      <c r="CA24" s="58"/>
      <c r="CC24" s="58"/>
    </row>
    <row r="25" spans="1:81" x14ac:dyDescent="0.2">
      <c r="A25">
        <f t="shared" si="51"/>
        <v>80</v>
      </c>
      <c r="B25">
        <f t="shared" si="33"/>
        <v>0.08</v>
      </c>
      <c r="C25">
        <f t="shared" si="0"/>
        <v>1.0000000012633092</v>
      </c>
      <c r="D25">
        <f t="shared" si="1"/>
        <v>5.0265482357666105E-5</v>
      </c>
      <c r="F25">
        <f t="shared" si="2"/>
        <v>0.98042841477665299</v>
      </c>
      <c r="G25">
        <f t="shared" si="3"/>
        <v>-3.8450392576332808E-3</v>
      </c>
      <c r="H25">
        <f t="shared" si="4"/>
        <v>-3.8450392576332808E-3</v>
      </c>
      <c r="J25">
        <f t="shared" si="5"/>
        <v>15</v>
      </c>
      <c r="M25">
        <f t="shared" si="6"/>
        <v>9.9721142402103009</v>
      </c>
      <c r="N25">
        <f t="shared" si="7"/>
        <v>-1.5707963250000001</v>
      </c>
      <c r="O25">
        <f t="shared" si="8"/>
        <v>1.0000409303856304</v>
      </c>
      <c r="P25">
        <f t="shared" si="9"/>
        <v>9.0475399528039679E-3</v>
      </c>
      <c r="Q25">
        <f t="shared" si="10"/>
        <v>1.0000453149473012</v>
      </c>
      <c r="R25">
        <f t="shared" si="11"/>
        <v>9.519793712431196E-3</v>
      </c>
      <c r="S25">
        <f t="shared" si="12"/>
        <v>0.99999999980189291</v>
      </c>
      <c r="T25">
        <f t="shared" si="13"/>
        <v>-1.9905131027771102E-5</v>
      </c>
      <c r="U25">
        <f t="shared" si="14"/>
        <v>0.99999988661712935</v>
      </c>
      <c r="V25">
        <f t="shared" si="15"/>
        <v>-4.7619927095213753E-4</v>
      </c>
      <c r="X25">
        <f t="shared" si="34"/>
        <v>43.326635998958878</v>
      </c>
      <c r="Y25">
        <f t="shared" si="16"/>
        <v>-89.182019353197688</v>
      </c>
      <c r="Z25">
        <f t="shared" si="35"/>
        <v>90.817980646802312</v>
      </c>
      <c r="AC25">
        <v>1</v>
      </c>
      <c r="AD25">
        <f t="shared" si="17"/>
        <v>9.0477868320000005E-3</v>
      </c>
      <c r="AE25">
        <f t="shared" si="18"/>
        <v>-4.5479136976284784E-9</v>
      </c>
      <c r="AF25">
        <f t="shared" si="19"/>
        <v>9.5504416560000004E-6</v>
      </c>
      <c r="AG25">
        <f t="shared" si="36"/>
        <v>897.50672168394453</v>
      </c>
      <c r="AH25">
        <f t="shared" si="37"/>
        <v>-104707.626914287</v>
      </c>
      <c r="AJ25">
        <f t="shared" si="20"/>
        <v>10500</v>
      </c>
      <c r="AK25">
        <f t="shared" si="21"/>
        <v>0.20900387581920002</v>
      </c>
      <c r="AL25">
        <v>1</v>
      </c>
      <c r="AM25">
        <f t="shared" si="22"/>
        <v>9.5200813046304022E-3</v>
      </c>
      <c r="AN25">
        <f t="shared" si="38"/>
        <v>10499.050440339843</v>
      </c>
      <c r="AO25">
        <f t="shared" si="39"/>
        <v>-99.742809937631719</v>
      </c>
      <c r="AQ25">
        <f t="shared" si="23"/>
        <v>9750.3900156006239</v>
      </c>
      <c r="AR25">
        <f t="shared" si="24"/>
        <v>-1560.0624024960998</v>
      </c>
      <c r="AT25">
        <f t="shared" si="52"/>
        <v>-154599391.42552629</v>
      </c>
      <c r="AU25">
        <f t="shared" si="53"/>
        <v>-1022340366.5147858</v>
      </c>
      <c r="AV25">
        <f t="shared" si="42"/>
        <v>-1.7208802482994461</v>
      </c>
      <c r="AW25">
        <f t="shared" si="25"/>
        <v>102225117.70394154</v>
      </c>
      <c r="AX25">
        <f t="shared" si="26"/>
        <v>-18006222.609904241</v>
      </c>
      <c r="AY25">
        <f t="shared" si="50"/>
        <v>-0.17435433194290698</v>
      </c>
      <c r="BA25">
        <f t="shared" si="27"/>
        <v>9.9612255344487828</v>
      </c>
      <c r="BB25">
        <f t="shared" si="43"/>
        <v>19.966255463466137</v>
      </c>
      <c r="BC25">
        <f t="shared" si="44"/>
        <v>-1.546525916356539</v>
      </c>
      <c r="BD25">
        <f t="shared" si="28"/>
        <v>-268.60940801608285</v>
      </c>
      <c r="BF25">
        <f t="shared" si="29"/>
        <v>43.316398445257953</v>
      </c>
      <c r="BG25">
        <f t="shared" si="30"/>
        <v>-88.82683253786152</v>
      </c>
      <c r="BH25">
        <f t="shared" si="45"/>
        <v>91.17316746213848</v>
      </c>
      <c r="BI25">
        <f t="shared" si="46"/>
        <v>91.17316746213848</v>
      </c>
      <c r="BJ25">
        <f t="shared" si="31"/>
        <v>0</v>
      </c>
      <c r="BK25">
        <f t="shared" si="47"/>
        <v>0</v>
      </c>
      <c r="BM25">
        <f t="shared" si="48"/>
        <v>23.350142981791816</v>
      </c>
      <c r="BN25">
        <f t="shared" si="32"/>
        <v>-0.21742452177866237</v>
      </c>
      <c r="BQ25" s="56">
        <f t="shared" si="49"/>
        <v>36.868216263751272</v>
      </c>
      <c r="BR25" s="58"/>
      <c r="BS25" s="58"/>
      <c r="BT25" s="58">
        <v>141.25399999999999</v>
      </c>
      <c r="BU25" s="58">
        <v>32.377000000000002</v>
      </c>
      <c r="BV25" s="58">
        <v>-263.11430000000001</v>
      </c>
      <c r="BW25" s="61"/>
      <c r="BY25" s="58"/>
      <c r="BZ25" s="58"/>
      <c r="CA25" s="58"/>
      <c r="CC25" s="58"/>
    </row>
    <row r="26" spans="1:81" x14ac:dyDescent="0.2">
      <c r="A26">
        <f t="shared" si="51"/>
        <v>90</v>
      </c>
      <c r="B26">
        <f t="shared" si="33"/>
        <v>0.09</v>
      </c>
      <c r="C26">
        <f t="shared" si="0"/>
        <v>1.0000000015988759</v>
      </c>
      <c r="D26">
        <f t="shared" si="1"/>
        <v>5.6548667639723808E-5</v>
      </c>
      <c r="F26">
        <f t="shared" si="2"/>
        <v>0.98043814826951703</v>
      </c>
      <c r="G26">
        <f t="shared" si="3"/>
        <v>-4.3257149407273533E-3</v>
      </c>
      <c r="H26">
        <f t="shared" si="4"/>
        <v>-4.3257149407273533E-3</v>
      </c>
      <c r="J26">
        <f t="shared" si="5"/>
        <v>15</v>
      </c>
      <c r="M26">
        <f t="shared" si="6"/>
        <v>8.8641015468536004</v>
      </c>
      <c r="N26">
        <f t="shared" si="7"/>
        <v>-1.5707963250000001</v>
      </c>
      <c r="O26">
        <f t="shared" si="8"/>
        <v>1.0000518022377261</v>
      </c>
      <c r="P26">
        <f t="shared" si="9"/>
        <v>1.0178408677042967E-2</v>
      </c>
      <c r="Q26">
        <f t="shared" si="10"/>
        <v>1.0000573513850328</v>
      </c>
      <c r="R26">
        <f t="shared" si="11"/>
        <v>1.0709681991761642E-2</v>
      </c>
      <c r="S26">
        <f t="shared" si="12"/>
        <v>0.99999999974927078</v>
      </c>
      <c r="T26">
        <f t="shared" si="13"/>
        <v>-2.2393272405456902E-5</v>
      </c>
      <c r="U26">
        <f t="shared" si="14"/>
        <v>0.9999998564998106</v>
      </c>
      <c r="V26">
        <f t="shared" si="15"/>
        <v>-5.3572416906476914E-4</v>
      </c>
      <c r="X26">
        <f t="shared" si="34"/>
        <v>42.303870491314221</v>
      </c>
      <c r="Y26">
        <f t="shared" si="16"/>
        <v>-89.07978354489579</v>
      </c>
      <c r="Z26">
        <f t="shared" si="35"/>
        <v>90.92021645510421</v>
      </c>
      <c r="AC26">
        <v>1</v>
      </c>
      <c r="AD26">
        <f t="shared" si="17"/>
        <v>1.0178760186000002E-2</v>
      </c>
      <c r="AE26">
        <f t="shared" si="18"/>
        <v>-5.7559532735610424E-9</v>
      </c>
      <c r="AF26">
        <f t="shared" si="19"/>
        <v>1.0744246862999998E-5</v>
      </c>
      <c r="AG26">
        <f t="shared" si="36"/>
        <v>897.50666762294793</v>
      </c>
      <c r="AH26">
        <f t="shared" si="37"/>
        <v>-93073.547058022552</v>
      </c>
      <c r="AJ26">
        <f t="shared" si="20"/>
        <v>10500</v>
      </c>
      <c r="AK26">
        <f t="shared" si="21"/>
        <v>0.23512936029660003</v>
      </c>
      <c r="AL26">
        <v>1</v>
      </c>
      <c r="AM26">
        <f t="shared" si="22"/>
        <v>1.0710091467709201E-2</v>
      </c>
      <c r="AN26">
        <f t="shared" si="38"/>
        <v>10498.798242483732</v>
      </c>
      <c r="AO26">
        <f t="shared" si="39"/>
        <v>-112.20796011772879</v>
      </c>
      <c r="AQ26">
        <f t="shared" si="23"/>
        <v>9686.1681518791174</v>
      </c>
      <c r="AR26">
        <f t="shared" si="24"/>
        <v>-1743.510267338241</v>
      </c>
      <c r="AT26">
        <f t="shared" si="52"/>
        <v>-153581284.4132227</v>
      </c>
      <c r="AU26">
        <f t="shared" si="53"/>
        <v>-903090839.38584554</v>
      </c>
      <c r="AV26">
        <f t="shared" si="42"/>
        <v>-1.7392465805181159</v>
      </c>
      <c r="AW26">
        <f t="shared" si="25"/>
        <v>101508375.31800231</v>
      </c>
      <c r="AX26">
        <f t="shared" si="26"/>
        <v>-19973444.005014304</v>
      </c>
      <c r="AY26">
        <f t="shared" si="50"/>
        <v>-0.1942844653773789</v>
      </c>
      <c r="BA26">
        <f t="shared" si="27"/>
        <v>8.854661291773013</v>
      </c>
      <c r="BB26">
        <f t="shared" si="43"/>
        <v>18.943439064497397</v>
      </c>
      <c r="BC26">
        <f t="shared" si="44"/>
        <v>-1.5449621151407369</v>
      </c>
      <c r="BD26">
        <f t="shared" si="28"/>
        <v>-268.5198088063176</v>
      </c>
      <c r="BF26">
        <f t="shared" si="29"/>
        <v>42.293668280512463</v>
      </c>
      <c r="BG26">
        <f t="shared" si="30"/>
        <v>-88.764414016084601</v>
      </c>
      <c r="BH26">
        <f t="shared" si="45"/>
        <v>91.235585983915399</v>
      </c>
      <c r="BI26">
        <f t="shared" si="46"/>
        <v>91.235585983915399</v>
      </c>
      <c r="BJ26">
        <f t="shared" si="31"/>
        <v>0</v>
      </c>
      <c r="BK26">
        <f t="shared" si="47"/>
        <v>0</v>
      </c>
      <c r="BM26">
        <f t="shared" si="48"/>
        <v>23.350229216015062</v>
      </c>
      <c r="BN26">
        <f t="shared" si="32"/>
        <v>-0.24460520976701838</v>
      </c>
      <c r="BQ26" s="56">
        <f t="shared" si="49"/>
        <v>35.845399864782536</v>
      </c>
      <c r="BR26" s="58"/>
      <c r="BS26" s="58"/>
      <c r="BT26" s="58">
        <v>144.54400000000001</v>
      </c>
      <c r="BU26" s="58">
        <v>31.499099999999999</v>
      </c>
      <c r="BV26" s="58">
        <v>-266.2885</v>
      </c>
      <c r="BW26" s="61"/>
      <c r="BY26" s="58"/>
      <c r="BZ26" s="58"/>
      <c r="CA26" s="58"/>
      <c r="CC26" s="58"/>
    </row>
    <row r="27" spans="1:81" x14ac:dyDescent="0.2">
      <c r="A27">
        <f t="shared" si="51"/>
        <v>100</v>
      </c>
      <c r="B27">
        <f t="shared" si="33"/>
        <v>0.1</v>
      </c>
      <c r="C27">
        <f t="shared" si="0"/>
        <v>1.0000000019739208</v>
      </c>
      <c r="D27">
        <f t="shared" si="1"/>
        <v>6.2831852917316603E-5</v>
      </c>
      <c r="F27">
        <f t="shared" si="2"/>
        <v>0.98044902705818537</v>
      </c>
      <c r="G27">
        <f t="shared" si="3"/>
        <v>-4.8064067811302864E-3</v>
      </c>
      <c r="H27">
        <f t="shared" si="4"/>
        <v>-4.8064067811302864E-3</v>
      </c>
      <c r="J27">
        <f t="shared" si="5"/>
        <v>15</v>
      </c>
      <c r="M27">
        <f t="shared" si="6"/>
        <v>7.9776913921682411</v>
      </c>
      <c r="N27">
        <f t="shared" si="7"/>
        <v>-1.5707963250000001</v>
      </c>
      <c r="O27">
        <f t="shared" si="8"/>
        <v>1.0000639529913804</v>
      </c>
      <c r="P27">
        <f t="shared" si="9"/>
        <v>1.1309251367391018E-2</v>
      </c>
      <c r="Q27">
        <f t="shared" si="10"/>
        <v>1.0000708037028294</v>
      </c>
      <c r="R27">
        <f t="shared" si="11"/>
        <v>1.1899539944453558E-2</v>
      </c>
      <c r="S27">
        <f t="shared" si="12"/>
        <v>0.99999999969045761</v>
      </c>
      <c r="T27">
        <f t="shared" si="13"/>
        <v>-2.4881413782865435E-5</v>
      </c>
      <c r="U27">
        <f t="shared" si="14"/>
        <v>0.99999982283928157</v>
      </c>
      <c r="V27">
        <f t="shared" si="15"/>
        <v>-5.9524906338103063E-4</v>
      </c>
      <c r="X27">
        <f t="shared" si="34"/>
        <v>41.389039139075123</v>
      </c>
      <c r="Y27">
        <f t="shared" si="16"/>
        <v>-88.977551891342699</v>
      </c>
      <c r="Z27">
        <f t="shared" si="35"/>
        <v>91.022448108657301</v>
      </c>
      <c r="AC27">
        <v>1</v>
      </c>
      <c r="AD27">
        <f t="shared" si="17"/>
        <v>1.130973354E-2</v>
      </c>
      <c r="AE27">
        <f t="shared" si="18"/>
        <v>-7.1061151525444973E-9</v>
      </c>
      <c r="AF27">
        <f t="shared" si="19"/>
        <v>1.1938052069999999E-5</v>
      </c>
      <c r="AG27">
        <f t="shared" si="36"/>
        <v>897.50660720184101</v>
      </c>
      <c r="AH27">
        <f t="shared" si="37"/>
        <v>-83766.293857796933</v>
      </c>
      <c r="AJ27">
        <f t="shared" si="20"/>
        <v>10500</v>
      </c>
      <c r="AK27">
        <f t="shared" si="21"/>
        <v>0.26125484477400007</v>
      </c>
      <c r="AL27">
        <v>1</v>
      </c>
      <c r="AM27">
        <f t="shared" si="22"/>
        <v>1.1900101630788001E-2</v>
      </c>
      <c r="AN27">
        <f t="shared" si="38"/>
        <v>10498.516388659353</v>
      </c>
      <c r="AO27">
        <f t="shared" si="39"/>
        <v>-124.67215715276571</v>
      </c>
      <c r="AQ27">
        <f t="shared" si="23"/>
        <v>9615.3846153846152</v>
      </c>
      <c r="AR27">
        <f t="shared" si="24"/>
        <v>-1923.0769230769231</v>
      </c>
      <c r="AT27">
        <f t="shared" si="52"/>
        <v>-152459155.42651486</v>
      </c>
      <c r="AU27">
        <f t="shared" si="53"/>
        <v>-807171107.49266636</v>
      </c>
      <c r="AV27">
        <f t="shared" si="42"/>
        <v>-1.7574778843407672</v>
      </c>
      <c r="AW27">
        <f t="shared" si="25"/>
        <v>100718404.42413989</v>
      </c>
      <c r="AX27">
        <f t="shared" si="26"/>
        <v>-21911883.152928203</v>
      </c>
      <c r="AY27">
        <f t="shared" si="50"/>
        <v>-0.21421784654542822</v>
      </c>
      <c r="BA27">
        <f t="shared" si="27"/>
        <v>7.9694221225292585</v>
      </c>
      <c r="BB27">
        <f t="shared" si="43"/>
        <v>18.028536620906809</v>
      </c>
      <c r="BC27">
        <f t="shared" si="44"/>
        <v>-1.5432600377953389</v>
      </c>
      <c r="BD27">
        <f t="shared" si="28"/>
        <v>-268.42228695791005</v>
      </c>
      <c r="BF27">
        <f t="shared" si="29"/>
        <v>41.378862216920531</v>
      </c>
      <c r="BG27">
        <f t="shared" si="30"/>
        <v>-88.694073781411262</v>
      </c>
      <c r="BH27">
        <f t="shared" si="45"/>
        <v>91.305926218588738</v>
      </c>
      <c r="BI27">
        <f t="shared" si="46"/>
        <v>91.305926218588738</v>
      </c>
      <c r="BJ27">
        <f t="shared" si="31"/>
        <v>0</v>
      </c>
      <c r="BK27">
        <f t="shared" si="47"/>
        <v>0</v>
      </c>
      <c r="BM27">
        <f t="shared" si="48"/>
        <v>23.350325596013718</v>
      </c>
      <c r="BN27">
        <f t="shared" si="32"/>
        <v>-0.27178682350123734</v>
      </c>
      <c r="BQ27" s="56">
        <f t="shared" si="49"/>
        <v>34.930497421191944</v>
      </c>
      <c r="BR27" s="58"/>
      <c r="BS27" s="58"/>
      <c r="BT27" s="58">
        <v>147.911</v>
      </c>
      <c r="BU27" s="58">
        <v>31.4819</v>
      </c>
      <c r="BV27" s="58">
        <v>-266.34629999999999</v>
      </c>
      <c r="BW27" s="61"/>
      <c r="BY27" s="58"/>
      <c r="BZ27" s="58"/>
      <c r="CA27" s="58"/>
      <c r="CC27" s="58"/>
    </row>
    <row r="28" spans="1:81" x14ac:dyDescent="0.2">
      <c r="A28">
        <f t="shared" si="51"/>
        <v>200</v>
      </c>
      <c r="B28">
        <f t="shared" si="33"/>
        <v>0.2</v>
      </c>
      <c r="C28">
        <f t="shared" si="0"/>
        <v>1.0000000078956834</v>
      </c>
      <c r="D28">
        <f t="shared" si="1"/>
        <v>1.2566370533853279E-4</v>
      </c>
      <c r="F28">
        <f t="shared" si="2"/>
        <v>0.98062082245160886</v>
      </c>
      <c r="G28">
        <f t="shared" si="3"/>
        <v>-9.6146090416571045E-3</v>
      </c>
      <c r="H28">
        <f t="shared" si="4"/>
        <v>-9.6146090416571045E-3</v>
      </c>
      <c r="J28">
        <f t="shared" si="5"/>
        <v>15</v>
      </c>
      <c r="M28">
        <f t="shared" si="6"/>
        <v>3.9888456960841205</v>
      </c>
      <c r="N28">
        <f t="shared" si="7"/>
        <v>-1.5707963250000001</v>
      </c>
      <c r="O28">
        <f t="shared" si="8"/>
        <v>1.0002557874318865</v>
      </c>
      <c r="P28">
        <f t="shared" si="9"/>
        <v>2.2615610586906906E-2</v>
      </c>
      <c r="Q28">
        <f t="shared" si="10"/>
        <v>1.0002831847408475</v>
      </c>
      <c r="R28">
        <f t="shared" si="11"/>
        <v>2.379571091582006E-2</v>
      </c>
      <c r="S28">
        <f t="shared" si="12"/>
        <v>0.99999999876183066</v>
      </c>
      <c r="T28">
        <f t="shared" si="13"/>
        <v>-4.9762827534923462E-5</v>
      </c>
      <c r="U28">
        <f t="shared" si="14"/>
        <v>0.99999929135769083</v>
      </c>
      <c r="V28">
        <f t="shared" si="15"/>
        <v>-1.1904977049433407E-3</v>
      </c>
      <c r="X28">
        <f t="shared" si="34"/>
        <v>35.373466849168985</v>
      </c>
      <c r="Y28">
        <f t="shared" si="16"/>
        <v>-87.955565367741912</v>
      </c>
      <c r="Z28">
        <f t="shared" si="35"/>
        <v>92.044434632258088</v>
      </c>
      <c r="AC28">
        <v>1</v>
      </c>
      <c r="AD28">
        <f t="shared" si="17"/>
        <v>2.261946708E-2</v>
      </c>
      <c r="AE28">
        <f t="shared" si="18"/>
        <v>-2.8424460610177989E-8</v>
      </c>
      <c r="AF28">
        <f t="shared" si="19"/>
        <v>2.3876104139999998E-5</v>
      </c>
      <c r="AG28">
        <f t="shared" si="36"/>
        <v>897.50565318544739</v>
      </c>
      <c r="AH28">
        <f t="shared" si="37"/>
        <v>-41883.948287808336</v>
      </c>
      <c r="AJ28">
        <f t="shared" si="20"/>
        <v>10500</v>
      </c>
      <c r="AK28">
        <f t="shared" si="21"/>
        <v>0.52250968954800014</v>
      </c>
      <c r="AL28">
        <v>1</v>
      </c>
      <c r="AM28">
        <f t="shared" si="22"/>
        <v>2.3800203261576003E-2</v>
      </c>
      <c r="AN28">
        <f t="shared" si="38"/>
        <v>10494.068074383587</v>
      </c>
      <c r="AO28">
        <f t="shared" si="39"/>
        <v>-249.23844352159685</v>
      </c>
      <c r="AQ28">
        <f t="shared" si="23"/>
        <v>8620.689655172413</v>
      </c>
      <c r="AR28">
        <f t="shared" si="24"/>
        <v>-3448.2758620689651</v>
      </c>
      <c r="AT28">
        <f t="shared" si="52"/>
        <v>-136690290.1891197</v>
      </c>
      <c r="AU28">
        <f t="shared" si="53"/>
        <v>-364163366.8024354</v>
      </c>
      <c r="AV28">
        <f t="shared" si="42"/>
        <v>-1.9298775910252979</v>
      </c>
      <c r="AW28">
        <f t="shared" si="25"/>
        <v>89617542.452217028</v>
      </c>
      <c r="AX28">
        <f t="shared" si="26"/>
        <v>-38597060.44300884</v>
      </c>
      <c r="AY28">
        <f t="shared" si="50"/>
        <v>-0.40667723827890556</v>
      </c>
      <c r="BA28">
        <f t="shared" si="27"/>
        <v>3.9863569105428174</v>
      </c>
      <c r="BB28">
        <f t="shared" si="43"/>
        <v>12.011523595970118</v>
      </c>
      <c r="BC28">
        <f t="shared" si="44"/>
        <v>-1.5232003527463922</v>
      </c>
      <c r="BD28">
        <f t="shared" si="28"/>
        <v>-267.27295166493042</v>
      </c>
      <c r="BF28">
        <f t="shared" si="29"/>
        <v>35.363371061555554</v>
      </c>
      <c r="BG28">
        <f t="shared" si="30"/>
        <v>-87.816628185353025</v>
      </c>
      <c r="BH28">
        <f t="shared" si="45"/>
        <v>92.183371814646975</v>
      </c>
      <c r="BI28">
        <f t="shared" si="46"/>
        <v>92.183371814646975</v>
      </c>
      <c r="BJ28">
        <f t="shared" si="31"/>
        <v>0</v>
      </c>
      <c r="BK28">
        <f t="shared" si="47"/>
        <v>0</v>
      </c>
      <c r="BM28">
        <f t="shared" si="48"/>
        <v>23.351847465585443</v>
      </c>
      <c r="BN28">
        <f t="shared" si="32"/>
        <v>-0.5436765204226407</v>
      </c>
      <c r="BQ28" s="56">
        <f t="shared" si="49"/>
        <v>28.913484396255249</v>
      </c>
      <c r="BR28" s="58"/>
      <c r="BS28" s="58"/>
      <c r="BT28" s="58">
        <v>151.35599999999999</v>
      </c>
      <c r="BU28" s="58">
        <v>31.0519</v>
      </c>
      <c r="BV28" s="58">
        <v>-267.0283</v>
      </c>
      <c r="BW28" s="61"/>
      <c r="BY28" s="58"/>
      <c r="BZ28" s="58"/>
      <c r="CA28" s="58"/>
      <c r="CC28" s="58"/>
    </row>
    <row r="29" spans="1:81" x14ac:dyDescent="0.2">
      <c r="A29">
        <f t="shared" si="51"/>
        <v>300</v>
      </c>
      <c r="B29">
        <f t="shared" si="33"/>
        <v>0.3</v>
      </c>
      <c r="C29">
        <f t="shared" si="0"/>
        <v>1.0000000177652877</v>
      </c>
      <c r="D29">
        <f t="shared" si="1"/>
        <v>1.8849555676754817E-4</v>
      </c>
      <c r="F29">
        <f t="shared" si="2"/>
        <v>0.98090725281515412</v>
      </c>
      <c r="G29">
        <f t="shared" si="3"/>
        <v>-1.4426404213604421E-2</v>
      </c>
      <c r="H29">
        <f t="shared" si="4"/>
        <v>-1.4426404213604421E-2</v>
      </c>
      <c r="J29">
        <f t="shared" si="5"/>
        <v>15</v>
      </c>
      <c r="M29">
        <f t="shared" si="6"/>
        <v>2.6592304640560798</v>
      </c>
      <c r="N29">
        <f t="shared" si="7"/>
        <v>-1.5707963250000001</v>
      </c>
      <c r="O29">
        <f t="shared" si="8"/>
        <v>1.0005754297676472</v>
      </c>
      <c r="P29">
        <f t="shared" si="9"/>
        <v>3.3916189945919675E-2</v>
      </c>
      <c r="Q29">
        <f t="shared" si="10"/>
        <v>1.0006370529664628</v>
      </c>
      <c r="R29">
        <f t="shared" si="11"/>
        <v>3.5685149660404328E-2</v>
      </c>
      <c r="S29">
        <f t="shared" si="12"/>
        <v>0.9999999972141187</v>
      </c>
      <c r="T29">
        <f t="shared" si="13"/>
        <v>-7.4644241225366666E-5</v>
      </c>
      <c r="U29">
        <f t="shared" si="14"/>
        <v>0.99999840555692321</v>
      </c>
      <c r="V29">
        <f t="shared" si="15"/>
        <v>-1.7857455028700033E-3</v>
      </c>
      <c r="X29">
        <f t="shared" si="34"/>
        <v>31.860018216196746</v>
      </c>
      <c r="Y29">
        <f t="shared" si="16"/>
        <v>-86.934501544313676</v>
      </c>
      <c r="Z29">
        <f t="shared" si="35"/>
        <v>93.065498455686324</v>
      </c>
      <c r="AC29">
        <v>1</v>
      </c>
      <c r="AD29">
        <f t="shared" si="17"/>
        <v>3.3929200620000002E-2</v>
      </c>
      <c r="AE29">
        <f t="shared" si="18"/>
        <v>-6.3955036372900476E-8</v>
      </c>
      <c r="AF29">
        <f t="shared" si="19"/>
        <v>3.5814156209999999E-5</v>
      </c>
      <c r="AG29">
        <f t="shared" si="36"/>
        <v>897.50406316263138</v>
      </c>
      <c r="AH29">
        <f t="shared" si="37"/>
        <v>-27923.522588137064</v>
      </c>
      <c r="AJ29">
        <f t="shared" si="20"/>
        <v>10500</v>
      </c>
      <c r="AK29">
        <f t="shared" si="21"/>
        <v>0.78376453432200011</v>
      </c>
      <c r="AL29">
        <v>1</v>
      </c>
      <c r="AM29">
        <f t="shared" si="22"/>
        <v>3.5700304892364004E-2</v>
      </c>
      <c r="AN29">
        <f t="shared" si="38"/>
        <v>10486.662605720041</v>
      </c>
      <c r="AO29">
        <f t="shared" si="39"/>
        <v>-373.59328779323579</v>
      </c>
      <c r="AQ29">
        <f t="shared" si="23"/>
        <v>7352.9411764705892</v>
      </c>
      <c r="AR29">
        <f t="shared" si="24"/>
        <v>-4411.7647058823532</v>
      </c>
      <c r="AT29">
        <f t="shared" si="52"/>
        <v>-116592716.83617358</v>
      </c>
      <c r="AU29">
        <f t="shared" si="53"/>
        <v>-209279595.77966651</v>
      </c>
      <c r="AV29">
        <f t="shared" si="42"/>
        <v>-2.0790853826224307</v>
      </c>
      <c r="AW29">
        <f t="shared" si="25"/>
        <v>75470481.653424978</v>
      </c>
      <c r="AX29">
        <f t="shared" si="26"/>
        <v>-49186574.482175171</v>
      </c>
      <c r="AY29">
        <f t="shared" si="50"/>
        <v>-0.57759226458684898</v>
      </c>
      <c r="BA29">
        <f t="shared" si="27"/>
        <v>2.6593633906603045</v>
      </c>
      <c r="BB29">
        <f t="shared" si="43"/>
        <v>8.4955537174883382</v>
      </c>
      <c r="BC29">
        <f t="shared" si="44"/>
        <v>-1.5014931180355817</v>
      </c>
      <c r="BD29">
        <f t="shared" si="28"/>
        <v>-266.02921872967988</v>
      </c>
      <c r="BF29">
        <f t="shared" si="29"/>
        <v>31.849937967179052</v>
      </c>
      <c r="BG29">
        <f t="shared" si="30"/>
        <v>-86.844990805741574</v>
      </c>
      <c r="BH29">
        <f t="shared" si="45"/>
        <v>93.155009194258426</v>
      </c>
      <c r="BI29">
        <f t="shared" si="46"/>
        <v>93.155009194258426</v>
      </c>
      <c r="BJ29">
        <f t="shared" si="31"/>
        <v>0</v>
      </c>
      <c r="BK29">
        <f t="shared" si="47"/>
        <v>0</v>
      </c>
      <c r="BM29">
        <f t="shared" si="48"/>
        <v>23.354384249690714</v>
      </c>
      <c r="BN29">
        <f t="shared" si="32"/>
        <v>-0.815772076061687</v>
      </c>
      <c r="BQ29" s="56">
        <f t="shared" si="49"/>
        <v>25.39751451777348</v>
      </c>
      <c r="BR29" s="58"/>
      <c r="BS29" s="58"/>
      <c r="BT29" s="58">
        <v>154.88200000000001</v>
      </c>
      <c r="BU29" s="58">
        <v>31.248699999999999</v>
      </c>
      <c r="BV29" s="58">
        <v>-260.69729999999998</v>
      </c>
      <c r="BW29" s="61"/>
      <c r="BY29" s="58"/>
      <c r="BZ29" s="58"/>
      <c r="CA29" s="58"/>
      <c r="CC29" s="58"/>
    </row>
    <row r="30" spans="1:81" x14ac:dyDescent="0.2">
      <c r="A30">
        <f t="shared" si="51"/>
        <v>400</v>
      </c>
      <c r="B30">
        <f t="shared" si="33"/>
        <v>0.4</v>
      </c>
      <c r="C30">
        <f t="shared" si="0"/>
        <v>1.0000000315827335</v>
      </c>
      <c r="D30">
        <f t="shared" si="1"/>
        <v>2.5132740670826237E-4</v>
      </c>
      <c r="F30">
        <f t="shared" si="2"/>
        <v>0.98130847529609166</v>
      </c>
      <c r="G30">
        <f t="shared" si="3"/>
        <v>-1.9243593637930267E-2</v>
      </c>
      <c r="H30">
        <f t="shared" si="4"/>
        <v>-1.9243593637930267E-2</v>
      </c>
      <c r="J30">
        <f t="shared" si="5"/>
        <v>15</v>
      </c>
      <c r="M30">
        <f t="shared" si="6"/>
        <v>1.9944228480420603</v>
      </c>
      <c r="N30">
        <f t="shared" si="7"/>
        <v>-1.5707963250000001</v>
      </c>
      <c r="O30">
        <f t="shared" si="8"/>
        <v>1.0010227575654476</v>
      </c>
      <c r="P30">
        <f t="shared" si="9"/>
        <v>4.5208110585305231E-2</v>
      </c>
      <c r="Q30">
        <f t="shared" si="10"/>
        <v>1.0011322583461035</v>
      </c>
      <c r="R30">
        <f t="shared" si="11"/>
        <v>4.7564504339042635E-2</v>
      </c>
      <c r="S30">
        <f t="shared" si="12"/>
        <v>0.99999999504732195</v>
      </c>
      <c r="T30">
        <f t="shared" si="13"/>
        <v>-9.9525654823387659E-5</v>
      </c>
      <c r="U30">
        <f t="shared" si="14"/>
        <v>0.99999716543980288</v>
      </c>
      <c r="V30">
        <f t="shared" si="15"/>
        <v>-2.3809920353476781E-3</v>
      </c>
      <c r="X30">
        <f t="shared" si="34"/>
        <v>29.372964729466112</v>
      </c>
      <c r="Y30">
        <f t="shared" si="16"/>
        <v>-85.914820598866669</v>
      </c>
      <c r="Z30">
        <f t="shared" si="35"/>
        <v>94.085179401133331</v>
      </c>
      <c r="AC30">
        <v>1</v>
      </c>
      <c r="AD30">
        <f t="shared" si="17"/>
        <v>4.5238934160000001E-2</v>
      </c>
      <c r="AE30">
        <f t="shared" si="18"/>
        <v>-1.1369784244071196E-7</v>
      </c>
      <c r="AF30">
        <f t="shared" si="19"/>
        <v>4.7752208279999997E-5</v>
      </c>
      <c r="AG30">
        <f t="shared" si="36"/>
        <v>897.50183714015395</v>
      </c>
      <c r="AH30">
        <f t="shared" si="37"/>
        <v>-20943.576853205785</v>
      </c>
      <c r="AJ30">
        <f t="shared" si="20"/>
        <v>10500</v>
      </c>
      <c r="AK30">
        <f t="shared" si="21"/>
        <v>1.0450193790960003</v>
      </c>
      <c r="AL30">
        <v>1</v>
      </c>
      <c r="AM30">
        <f t="shared" si="22"/>
        <v>4.7600406523152006E-2</v>
      </c>
      <c r="AN30">
        <f t="shared" si="38"/>
        <v>10476.312528028218</v>
      </c>
      <c r="AO30">
        <f t="shared" si="39"/>
        <v>-497.63171581863747</v>
      </c>
      <c r="AQ30">
        <f t="shared" si="23"/>
        <v>6097.5609756097556</v>
      </c>
      <c r="AR30">
        <f t="shared" si="24"/>
        <v>-4878.0487804878048</v>
      </c>
      <c r="AT30">
        <f t="shared" si="52"/>
        <v>-96691217.350149229</v>
      </c>
      <c r="AU30">
        <f t="shared" si="53"/>
        <v>-132082794.65193845</v>
      </c>
      <c r="AV30">
        <f t="shared" si="42"/>
        <v>-2.2027101504684916</v>
      </c>
      <c r="AW30">
        <f t="shared" si="25"/>
        <v>61463346.629908212</v>
      </c>
      <c r="AX30">
        <f t="shared" si="26"/>
        <v>-54269673.531501703</v>
      </c>
      <c r="AY30">
        <f t="shared" si="50"/>
        <v>-0.72332054607324792</v>
      </c>
      <c r="BA30">
        <f t="shared" si="27"/>
        <v>1.996400655363225</v>
      </c>
      <c r="BB30">
        <f t="shared" si="43"/>
        <v>6.0049540752199597</v>
      </c>
      <c r="BC30">
        <f t="shared" si="44"/>
        <v>-1.4793896043952437</v>
      </c>
      <c r="BD30">
        <f t="shared" si="28"/>
        <v>-264.76278068423153</v>
      </c>
      <c r="BF30">
        <f t="shared" si="29"/>
        <v>29.362890525555901</v>
      </c>
      <c r="BG30">
        <f t="shared" si="30"/>
        <v>-85.850957383912842</v>
      </c>
      <c r="BH30">
        <f t="shared" si="45"/>
        <v>94.149042616087158</v>
      </c>
      <c r="BI30">
        <f t="shared" si="46"/>
        <v>94.149042616087158</v>
      </c>
      <c r="BJ30">
        <f t="shared" si="31"/>
        <v>0</v>
      </c>
      <c r="BK30">
        <f t="shared" si="47"/>
        <v>0</v>
      </c>
      <c r="BM30">
        <f t="shared" si="48"/>
        <v>23.357936450335941</v>
      </c>
      <c r="BN30">
        <f t="shared" si="32"/>
        <v>-1.0881766996812781</v>
      </c>
      <c r="BQ30" s="56">
        <f t="shared" si="49"/>
        <v>22.906914875505095</v>
      </c>
      <c r="BR30" s="58"/>
      <c r="BS30" s="58"/>
      <c r="BT30" s="58">
        <v>158.489</v>
      </c>
      <c r="BU30" s="58">
        <v>31.003699999999998</v>
      </c>
      <c r="BV30" s="58">
        <v>-259.86900000000003</v>
      </c>
      <c r="BW30" s="61"/>
      <c r="BY30" s="58"/>
      <c r="BZ30" s="58"/>
      <c r="CA30" s="58"/>
      <c r="CC30" s="58"/>
    </row>
    <row r="31" spans="1:81" x14ac:dyDescent="0.2">
      <c r="A31">
        <f t="shared" si="51"/>
        <v>500</v>
      </c>
      <c r="B31">
        <f t="shared" si="33"/>
        <v>0.5</v>
      </c>
      <c r="C31">
        <f t="shared" si="0"/>
        <v>1.0000000493480208</v>
      </c>
      <c r="D31">
        <f t="shared" si="1"/>
        <v>3.1415925466457513E-4</v>
      </c>
      <c r="F31">
        <f t="shared" si="2"/>
        <v>0.98182471007142968</v>
      </c>
      <c r="G31">
        <f t="shared" si="3"/>
        <v>-2.4067984528199717E-2</v>
      </c>
      <c r="H31">
        <f t="shared" si="4"/>
        <v>-2.4067984528199717E-2</v>
      </c>
      <c r="J31">
        <f t="shared" si="5"/>
        <v>15</v>
      </c>
      <c r="M31">
        <f t="shared" si="6"/>
        <v>1.5955382784336483</v>
      </c>
      <c r="N31">
        <f t="shared" si="7"/>
        <v>-1.5707963250000001</v>
      </c>
      <c r="O31">
        <f t="shared" si="8"/>
        <v>1.0015975997468469</v>
      </c>
      <c r="P31">
        <f t="shared" si="9"/>
        <v>5.648850688384062E-2</v>
      </c>
      <c r="Q31">
        <f t="shared" si="10"/>
        <v>1.0017685912777348</v>
      </c>
      <c r="R31">
        <f t="shared" si="11"/>
        <v>5.9430440173929351E-2</v>
      </c>
      <c r="S31">
        <f t="shared" si="12"/>
        <v>0.99999999226144076</v>
      </c>
      <c r="T31">
        <f t="shared" si="13"/>
        <v>-1.2440706829817903E-4</v>
      </c>
      <c r="U31">
        <f t="shared" si="14"/>
        <v>0.9999955710102848</v>
      </c>
      <c r="V31">
        <f t="shared" si="15"/>
        <v>-2.9762368805684052E-3</v>
      </c>
      <c r="X31">
        <f t="shared" si="34"/>
        <v>27.449824511011126</v>
      </c>
      <c r="Y31">
        <f t="shared" si="16"/>
        <v>-84.89698130966589</v>
      </c>
      <c r="Z31">
        <f t="shared" si="35"/>
        <v>95.10301869033411</v>
      </c>
      <c r="AC31">
        <v>1</v>
      </c>
      <c r="AD31">
        <f t="shared" si="17"/>
        <v>5.6548667700000013E-2</v>
      </c>
      <c r="AE31">
        <f t="shared" si="18"/>
        <v>-1.7765287881361243E-7</v>
      </c>
      <c r="AF31">
        <f t="shared" si="19"/>
        <v>5.9690260349999995E-5</v>
      </c>
      <c r="AG31">
        <f t="shared" si="36"/>
        <v>897.49897512747975</v>
      </c>
      <c r="AH31">
        <f t="shared" si="37"/>
        <v>-16755.823100990441</v>
      </c>
      <c r="AJ31">
        <f t="shared" si="20"/>
        <v>10500</v>
      </c>
      <c r="AK31">
        <f t="shared" si="21"/>
        <v>1.30627422387</v>
      </c>
      <c r="AL31">
        <v>1</v>
      </c>
      <c r="AM31">
        <f t="shared" si="22"/>
        <v>5.9500508153940007E-2</v>
      </c>
      <c r="AN31">
        <f t="shared" si="38"/>
        <v>10463.035330445713</v>
      </c>
      <c r="AO31">
        <f t="shared" si="39"/>
        <v>-621.24964477027754</v>
      </c>
      <c r="AQ31">
        <f t="shared" si="23"/>
        <v>5000</v>
      </c>
      <c r="AR31">
        <f t="shared" si="24"/>
        <v>-5000</v>
      </c>
      <c r="AT31">
        <f t="shared" si="52"/>
        <v>-79291620.62931481</v>
      </c>
      <c r="AU31">
        <f t="shared" si="53"/>
        <v>-88266610.380589604</v>
      </c>
      <c r="AV31">
        <f t="shared" si="42"/>
        <v>-2.3026822201890726</v>
      </c>
      <c r="AW31">
        <f t="shared" si="25"/>
        <v>49219779.469850987</v>
      </c>
      <c r="AX31">
        <f t="shared" si="26"/>
        <v>-55526739.118833631</v>
      </c>
      <c r="AY31">
        <f t="shared" si="50"/>
        <v>-0.84553719649053538</v>
      </c>
      <c r="BA31">
        <f t="shared" si="27"/>
        <v>1.5990514960254083</v>
      </c>
      <c r="BB31">
        <f t="shared" si="43"/>
        <v>4.0772490007478019</v>
      </c>
      <c r="BC31">
        <f t="shared" si="44"/>
        <v>-1.4571450236985373</v>
      </c>
      <c r="BD31">
        <f t="shared" si="28"/>
        <v>-263.48826009181573</v>
      </c>
      <c r="BF31">
        <f t="shared" si="29"/>
        <v>27.43975377063089</v>
      </c>
      <c r="BG31">
        <f t="shared" si="30"/>
        <v>-84.849254028835659</v>
      </c>
      <c r="BH31">
        <f t="shared" si="45"/>
        <v>95.150745971164341</v>
      </c>
      <c r="BI31">
        <f t="shared" si="46"/>
        <v>95.150745971164341</v>
      </c>
      <c r="BJ31">
        <f t="shared" si="31"/>
        <v>0</v>
      </c>
      <c r="BK31">
        <f t="shared" si="47"/>
        <v>0</v>
      </c>
      <c r="BM31">
        <f t="shared" si="48"/>
        <v>23.362504769883085</v>
      </c>
      <c r="BN31">
        <f t="shared" si="32"/>
        <v>-1.3609939370199142</v>
      </c>
      <c r="BQ31" s="56">
        <f t="shared" si="49"/>
        <v>20.979209801032937</v>
      </c>
      <c r="BR31" s="58"/>
      <c r="BS31" s="58"/>
      <c r="BT31" s="58">
        <v>162.18100000000001</v>
      </c>
      <c r="BU31" s="58">
        <v>30.429300000000001</v>
      </c>
      <c r="BV31" s="58">
        <v>-262.39859999999999</v>
      </c>
      <c r="BW31" s="61"/>
      <c r="BY31" s="58"/>
      <c r="BZ31" s="58"/>
      <c r="CA31" s="58"/>
      <c r="CC31" s="58"/>
    </row>
    <row r="32" spans="1:81" x14ac:dyDescent="0.2">
      <c r="A32">
        <f t="shared" si="51"/>
        <v>600</v>
      </c>
      <c r="B32">
        <f t="shared" si="33"/>
        <v>0.6</v>
      </c>
      <c r="C32">
        <f t="shared" si="0"/>
        <v>1.000000071061149</v>
      </c>
      <c r="D32">
        <f t="shared" si="1"/>
        <v>3.7699110014038624E-4</v>
      </c>
      <c r="F32">
        <f t="shared" si="2"/>
        <v>0.98245624051828262</v>
      </c>
      <c r="G32">
        <f t="shared" si="3"/>
        <v>-2.8901391945327443E-2</v>
      </c>
      <c r="H32">
        <f t="shared" si="4"/>
        <v>-2.8901391945327443E-2</v>
      </c>
      <c r="J32">
        <f t="shared" si="5"/>
        <v>15</v>
      </c>
      <c r="M32">
        <f t="shared" si="6"/>
        <v>1.3296152320280399</v>
      </c>
      <c r="N32">
        <f t="shared" si="7"/>
        <v>-1.5707963250000001</v>
      </c>
      <c r="O32">
        <f t="shared" si="8"/>
        <v>1.0022997369144864</v>
      </c>
      <c r="P32">
        <f t="shared" si="9"/>
        <v>6.7754530792114215E-2</v>
      </c>
      <c r="Q32">
        <f t="shared" si="10"/>
        <v>1.0025457830331894</v>
      </c>
      <c r="R32">
        <f t="shared" si="11"/>
        <v>7.1279645023451202E-2</v>
      </c>
      <c r="S32">
        <f t="shared" si="12"/>
        <v>0.99999998885647468</v>
      </c>
      <c r="T32">
        <f t="shared" si="13"/>
        <v>-1.4928848161893334E-4</v>
      </c>
      <c r="U32">
        <f t="shared" si="14"/>
        <v>0.9999936222734529</v>
      </c>
      <c r="V32">
        <f t="shared" si="15"/>
        <v>-3.5714796167314006E-3</v>
      </c>
      <c r="X32">
        <f t="shared" si="34"/>
        <v>25.884590870775376</v>
      </c>
      <c r="Y32">
        <f t="shared" si="16"/>
        <v>-83.881440600847782</v>
      </c>
      <c r="Z32">
        <f t="shared" si="35"/>
        <v>96.118559399152218</v>
      </c>
      <c r="AC32">
        <v>1</v>
      </c>
      <c r="AD32">
        <f t="shared" si="17"/>
        <v>6.7858401240000005E-2</v>
      </c>
      <c r="AE32">
        <f t="shared" si="18"/>
        <v>-2.558201454916019E-7</v>
      </c>
      <c r="AF32">
        <f t="shared" si="19"/>
        <v>7.1628312419999999E-5</v>
      </c>
      <c r="AG32">
        <f t="shared" si="36"/>
        <v>897.49547713677646</v>
      </c>
      <c r="AH32">
        <f t="shared" si="37"/>
        <v>-13964.165336725926</v>
      </c>
      <c r="AJ32">
        <f t="shared" si="20"/>
        <v>10500</v>
      </c>
      <c r="AK32">
        <f t="shared" si="21"/>
        <v>1.5675290686440002</v>
      </c>
      <c r="AL32">
        <v>1</v>
      </c>
      <c r="AM32">
        <f t="shared" si="22"/>
        <v>7.1400609784728009E-2</v>
      </c>
      <c r="AN32">
        <f t="shared" si="38"/>
        <v>10446.853372226637</v>
      </c>
      <c r="AO32">
        <f t="shared" si="39"/>
        <v>-744.34417203998009</v>
      </c>
      <c r="AQ32">
        <f t="shared" si="23"/>
        <v>4098.3606557377052</v>
      </c>
      <c r="AR32">
        <f t="shared" si="24"/>
        <v>-4918.0327868852464</v>
      </c>
      <c r="AT32">
        <f t="shared" si="52"/>
        <v>-64997962.815304659</v>
      </c>
      <c r="AU32">
        <f t="shared" si="53"/>
        <v>-61644097.98889368</v>
      </c>
      <c r="AV32">
        <f t="shared" si="42"/>
        <v>-2.3826713262177073</v>
      </c>
      <c r="AW32">
        <f t="shared" si="25"/>
        <v>39165099.072307251</v>
      </c>
      <c r="AX32">
        <f t="shared" si="26"/>
        <v>-54516541.599551454</v>
      </c>
      <c r="AY32">
        <f t="shared" si="50"/>
        <v>-0.94782278616921989</v>
      </c>
      <c r="BA32">
        <f t="shared" si="27"/>
        <v>1.3345093789582572</v>
      </c>
      <c r="BB32">
        <f t="shared" si="43"/>
        <v>2.5064326072888687</v>
      </c>
      <c r="BC32">
        <f t="shared" si="44"/>
        <v>-1.4348485400484874</v>
      </c>
      <c r="BD32">
        <f t="shared" si="28"/>
        <v>-262.21076567922569</v>
      </c>
      <c r="BF32">
        <f t="shared" si="29"/>
        <v>25.874522717885419</v>
      </c>
      <c r="BG32">
        <f t="shared" si="30"/>
        <v>-83.845093462661808</v>
      </c>
      <c r="BH32">
        <f t="shared" si="45"/>
        <v>96.154906537338192</v>
      </c>
      <c r="BI32">
        <f t="shared" si="46"/>
        <v>96.154906537338192</v>
      </c>
      <c r="BJ32">
        <f t="shared" si="31"/>
        <v>0</v>
      </c>
      <c r="BK32">
        <f t="shared" si="47"/>
        <v>0</v>
      </c>
      <c r="BM32">
        <f t="shared" si="48"/>
        <v>23.368090110596548</v>
      </c>
      <c r="BN32">
        <f t="shared" si="32"/>
        <v>-1.6343277834361083</v>
      </c>
      <c r="BQ32" s="56">
        <f t="shared" si="49"/>
        <v>19.408393407574003</v>
      </c>
      <c r="BR32" s="58"/>
      <c r="BS32" s="58"/>
      <c r="BT32" s="58">
        <v>165.959</v>
      </c>
      <c r="BU32" s="58">
        <v>29.9194</v>
      </c>
      <c r="BV32" s="58">
        <v>-264.8295</v>
      </c>
      <c r="BW32" s="61"/>
      <c r="BY32" s="58"/>
      <c r="BZ32" s="58"/>
      <c r="CA32" s="58"/>
      <c r="CC32" s="58"/>
    </row>
    <row r="33" spans="1:81" x14ac:dyDescent="0.2">
      <c r="A33">
        <f t="shared" si="51"/>
        <v>700</v>
      </c>
      <c r="B33">
        <f t="shared" si="33"/>
        <v>0.7</v>
      </c>
      <c r="C33">
        <f t="shared" si="0"/>
        <v>1.0000000967221181</v>
      </c>
      <c r="D33">
        <f t="shared" si="1"/>
        <v>4.398229426395957E-4</v>
      </c>
      <c r="F33">
        <f t="shared" si="2"/>
        <v>0.98320341343225348</v>
      </c>
      <c r="G33">
        <f t="shared" si="3"/>
        <v>-3.3745640787116928E-2</v>
      </c>
      <c r="H33">
        <f t="shared" si="4"/>
        <v>-3.3745640787116928E-2</v>
      </c>
      <c r="J33">
        <f t="shared" si="5"/>
        <v>15</v>
      </c>
      <c r="M33">
        <f t="shared" si="6"/>
        <v>1.139670198881177</v>
      </c>
      <c r="N33">
        <f t="shared" si="7"/>
        <v>-1.5707963250000001</v>
      </c>
      <c r="O33">
        <f t="shared" si="8"/>
        <v>1.0031289017691316</v>
      </c>
      <c r="P33">
        <f t="shared" si="9"/>
        <v>7.9003356099679484E-2</v>
      </c>
      <c r="Q33">
        <f t="shared" si="10"/>
        <v>1.0034635063231403</v>
      </c>
      <c r="R33">
        <f t="shared" si="11"/>
        <v>8.3108834861915087E-2</v>
      </c>
      <c r="S33">
        <f t="shared" si="12"/>
        <v>0.99999998483242392</v>
      </c>
      <c r="T33">
        <f t="shared" si="13"/>
        <v>-1.7416989475484322E-4</v>
      </c>
      <c r="U33">
        <f t="shared" si="14"/>
        <v>0.99999131923552154</v>
      </c>
      <c r="V33">
        <f t="shared" si="15"/>
        <v>-4.1667198220448429E-3</v>
      </c>
      <c r="X33">
        <f t="shared" si="34"/>
        <v>24.567368406470379</v>
      </c>
      <c r="Y33">
        <f t="shared" si="16"/>
        <v>-82.868653097957434</v>
      </c>
      <c r="Z33">
        <f t="shared" si="35"/>
        <v>97.131346902042566</v>
      </c>
      <c r="AC33">
        <v>1</v>
      </c>
      <c r="AD33">
        <f t="shared" si="17"/>
        <v>7.916813478000001E-2</v>
      </c>
      <c r="AE33">
        <f t="shared" si="18"/>
        <v>-3.4819964247468042E-7</v>
      </c>
      <c r="AF33">
        <f t="shared" si="19"/>
        <v>8.3566364489999996E-5</v>
      </c>
      <c r="AG33">
        <f t="shared" si="36"/>
        <v>897.49134318291772</v>
      </c>
      <c r="AH33">
        <f t="shared" si="37"/>
        <v>-11970.276704863993</v>
      </c>
      <c r="AJ33">
        <f t="shared" si="20"/>
        <v>10500</v>
      </c>
      <c r="AK33">
        <f t="shared" si="21"/>
        <v>1.8287839134180004</v>
      </c>
      <c r="AL33">
        <v>1</v>
      </c>
      <c r="AM33">
        <f t="shared" si="22"/>
        <v>8.330071141551601E-2</v>
      </c>
      <c r="AN33">
        <f t="shared" si="38"/>
        <v>10427.793789029824</v>
      </c>
      <c r="AO33">
        <f t="shared" si="39"/>
        <v>-866.81385720706555</v>
      </c>
      <c r="AQ33">
        <f t="shared" si="23"/>
        <v>3378.3783783783783</v>
      </c>
      <c r="AR33">
        <f t="shared" si="24"/>
        <v>-4729.72972972973</v>
      </c>
      <c r="AT33">
        <f t="shared" si="52"/>
        <v>-53584108.255495511</v>
      </c>
      <c r="AU33">
        <f t="shared" si="53"/>
        <v>-44685015.490946203</v>
      </c>
      <c r="AV33">
        <f t="shared" si="42"/>
        <v>-2.4465065313293373</v>
      </c>
      <c r="AW33">
        <f t="shared" si="25"/>
        <v>31140054.512070842</v>
      </c>
      <c r="AX33">
        <f t="shared" si="26"/>
        <v>-52324709.350799046</v>
      </c>
      <c r="AY33">
        <f t="shared" si="50"/>
        <v>-1.0339646946912175</v>
      </c>
      <c r="BA33">
        <f t="shared" si="27"/>
        <v>1.1458570701483153</v>
      </c>
      <c r="BB33">
        <f t="shared" si="43"/>
        <v>1.182608975364942</v>
      </c>
      <c r="BC33">
        <f t="shared" si="44"/>
        <v>-1.4125418366381197</v>
      </c>
      <c r="BD33">
        <f t="shared" si="28"/>
        <v>-260.93268571750116</v>
      </c>
      <c r="BF33">
        <f t="shared" si="29"/>
        <v>24.55730254941674</v>
      </c>
      <c r="BG33">
        <f t="shared" si="30"/>
        <v>-82.840968515401713</v>
      </c>
      <c r="BH33">
        <f t="shared" si="45"/>
        <v>97.159031484598287</v>
      </c>
      <c r="BI33">
        <f t="shared" si="46"/>
        <v>97.159031484598287</v>
      </c>
      <c r="BJ33">
        <f t="shared" si="31"/>
        <v>0</v>
      </c>
      <c r="BK33">
        <f t="shared" si="47"/>
        <v>0</v>
      </c>
      <c r="BM33">
        <f t="shared" si="48"/>
        <v>23.3746935740518</v>
      </c>
      <c r="BN33">
        <f t="shared" si="32"/>
        <v>-1.9082827979005867</v>
      </c>
      <c r="BQ33" s="56">
        <f t="shared" si="49"/>
        <v>18.084569775650078</v>
      </c>
      <c r="BR33" s="58"/>
      <c r="BS33" s="58"/>
      <c r="BT33" s="58">
        <v>169.82400000000001</v>
      </c>
      <c r="BU33" s="58">
        <v>29.808900000000001</v>
      </c>
      <c r="BV33" s="58">
        <v>-267.72770000000003</v>
      </c>
      <c r="BW33" s="61"/>
      <c r="BY33" s="58"/>
      <c r="BZ33" s="58"/>
      <c r="CA33" s="58"/>
      <c r="CC33" s="58"/>
    </row>
    <row r="34" spans="1:81" x14ac:dyDescent="0.2">
      <c r="A34">
        <f t="shared" si="51"/>
        <v>800</v>
      </c>
      <c r="B34">
        <f t="shared" si="33"/>
        <v>0.8</v>
      </c>
      <c r="C34">
        <f t="shared" si="0"/>
        <v>1.0000001263309282</v>
      </c>
      <c r="D34">
        <f t="shared" si="1"/>
        <v>5.0265478166610354E-4</v>
      </c>
      <c r="F34">
        <f t="shared" si="2"/>
        <v>0.9840666392933124</v>
      </c>
      <c r="G34">
        <f t="shared" si="3"/>
        <v>-3.8602567796355465E-2</v>
      </c>
      <c r="H34">
        <f t="shared" si="4"/>
        <v>-3.8602567796355465E-2</v>
      </c>
      <c r="J34">
        <f t="shared" si="5"/>
        <v>15</v>
      </c>
      <c r="M34">
        <f t="shared" si="6"/>
        <v>0.99721142402103014</v>
      </c>
      <c r="N34">
        <f t="shared" si="7"/>
        <v>-1.5707963250000001</v>
      </c>
      <c r="O34">
        <f t="shared" si="8"/>
        <v>1.0040847796156116</v>
      </c>
      <c r="P34">
        <f t="shared" si="9"/>
        <v>9.0232182619655044E-2</v>
      </c>
      <c r="Q34">
        <f t="shared" si="10"/>
        <v>1.0045213759819536</v>
      </c>
      <c r="R34">
        <f t="shared" si="11"/>
        <v>9.4914759141798324E-2</v>
      </c>
      <c r="S34">
        <f t="shared" si="12"/>
        <v>0.99999998018928848</v>
      </c>
      <c r="T34">
        <f t="shared" si="13"/>
        <v>-1.990513076751013E-4</v>
      </c>
      <c r="U34">
        <f t="shared" si="14"/>
        <v>0.99998866190383451</v>
      </c>
      <c r="V34">
        <f t="shared" si="15"/>
        <v>-4.7619570747276761E-3</v>
      </c>
      <c r="X34">
        <f t="shared" si="34"/>
        <v>23.432554043942311</v>
      </c>
      <c r="Y34">
        <f t="shared" si="16"/>
        <v>-81.859070696009866</v>
      </c>
      <c r="Z34">
        <f t="shared" si="35"/>
        <v>98.140929303990134</v>
      </c>
      <c r="AC34">
        <v>1</v>
      </c>
      <c r="AD34">
        <f t="shared" si="17"/>
        <v>9.0477868320000002E-2</v>
      </c>
      <c r="AE34">
        <f t="shared" si="18"/>
        <v>-4.5479136976284783E-7</v>
      </c>
      <c r="AF34">
        <f t="shared" si="19"/>
        <v>9.5504416559999994E-5</v>
      </c>
      <c r="AG34">
        <f t="shared" si="36"/>
        <v>897.48657328347906</v>
      </c>
      <c r="AH34">
        <f t="shared" si="37"/>
        <v>-10474.993777062738</v>
      </c>
      <c r="AJ34">
        <f t="shared" si="20"/>
        <v>10500</v>
      </c>
      <c r="AK34">
        <f t="shared" si="21"/>
        <v>2.0900387581920006</v>
      </c>
      <c r="AL34">
        <v>1</v>
      </c>
      <c r="AM34">
        <f t="shared" si="22"/>
        <v>9.5200813046304011E-2</v>
      </c>
      <c r="AN34">
        <f t="shared" si="38"/>
        <v>10405.888379886439</v>
      </c>
      <c r="AO34">
        <f t="shared" si="39"/>
        <v>-988.55899547608419</v>
      </c>
      <c r="AQ34">
        <f t="shared" si="23"/>
        <v>2808.9887640449433</v>
      </c>
      <c r="AR34">
        <f t="shared" si="24"/>
        <v>-4494.3820224719093</v>
      </c>
      <c r="AT34">
        <f t="shared" si="52"/>
        <v>-44557594.016901404</v>
      </c>
      <c r="AU34">
        <f t="shared" si="53"/>
        <v>-33457787.343585119</v>
      </c>
      <c r="AV34">
        <f t="shared" si="42"/>
        <v>-2.4975231127013036</v>
      </c>
      <c r="AW34">
        <f t="shared" si="25"/>
        <v>24797857.134428494</v>
      </c>
      <c r="AX34">
        <f t="shared" si="26"/>
        <v>-49611296.743296094</v>
      </c>
      <c r="AY34">
        <f t="shared" si="50"/>
        <v>-1.1072743621880521</v>
      </c>
      <c r="BA34">
        <f t="shared" si="27"/>
        <v>1.0046359125181137</v>
      </c>
      <c r="BB34">
        <f t="shared" si="43"/>
        <v>4.0173974772029324E-2</v>
      </c>
      <c r="BC34">
        <f t="shared" si="44"/>
        <v>-1.3902487505132515</v>
      </c>
      <c r="BD34">
        <f t="shared" si="28"/>
        <v>-259.65538596876502</v>
      </c>
      <c r="BF34">
        <f t="shared" si="29"/>
        <v>23.422490435171142</v>
      </c>
      <c r="BG34">
        <f t="shared" si="30"/>
        <v>-81.838350186816641</v>
      </c>
      <c r="BH34">
        <f t="shared" si="45"/>
        <v>98.161649813183359</v>
      </c>
      <c r="BI34">
        <f t="shared" si="46"/>
        <v>98.161649813183359</v>
      </c>
      <c r="BJ34">
        <f t="shared" si="31"/>
        <v>0</v>
      </c>
      <c r="BK34">
        <f t="shared" si="47"/>
        <v>0</v>
      </c>
      <c r="BM34">
        <f t="shared" si="48"/>
        <v>23.382316460399114</v>
      </c>
      <c r="BN34">
        <f t="shared" si="32"/>
        <v>-2.1829642180516573</v>
      </c>
      <c r="BQ34" s="56">
        <f t="shared" si="49"/>
        <v>16.942134775057166</v>
      </c>
      <c r="BR34" s="58"/>
      <c r="BS34" s="58"/>
      <c r="BT34" s="58">
        <v>173.78</v>
      </c>
      <c r="BU34" s="58">
        <v>30.070900000000002</v>
      </c>
      <c r="BV34" s="58">
        <v>-269.952</v>
      </c>
      <c r="BW34" s="61"/>
      <c r="BY34" s="58"/>
      <c r="BZ34" s="58"/>
      <c r="CA34" s="58"/>
      <c r="CC34" s="58"/>
    </row>
    <row r="35" spans="1:81" x14ac:dyDescent="0.2">
      <c r="A35">
        <f t="shared" si="51"/>
        <v>900</v>
      </c>
      <c r="B35">
        <f t="shared" si="33"/>
        <v>0.9</v>
      </c>
      <c r="C35">
        <f t="shared" si="0"/>
        <v>1.0000001598875781</v>
      </c>
      <c r="D35">
        <f t="shared" si="1"/>
        <v>5.6548661672380996E-4</v>
      </c>
      <c r="F35">
        <f t="shared" si="2"/>
        <v>0.98504639257852322</v>
      </c>
      <c r="G35">
        <f t="shared" si="3"/>
        <v>-4.347402359126383E-2</v>
      </c>
      <c r="H35">
        <f t="shared" si="4"/>
        <v>-4.347402359126383E-2</v>
      </c>
      <c r="J35">
        <f t="shared" si="5"/>
        <v>15</v>
      </c>
      <c r="M35">
        <f t="shared" si="6"/>
        <v>0.88641015468536</v>
      </c>
      <c r="N35">
        <f t="shared" si="7"/>
        <v>-1.5707963250000001</v>
      </c>
      <c r="O35">
        <f t="shared" si="8"/>
        <v>1.0051670089554323</v>
      </c>
      <c r="P35">
        <f t="shared" si="9"/>
        <v>0.10143824027555304</v>
      </c>
      <c r="Q35">
        <f t="shared" si="10"/>
        <v>1.0057189497691041</v>
      </c>
      <c r="R35">
        <f t="shared" si="11"/>
        <v>0.10669420601706137</v>
      </c>
      <c r="S35">
        <f t="shared" si="12"/>
        <v>0.99999997492706849</v>
      </c>
      <c r="T35">
        <f t="shared" si="13"/>
        <v>-2.2393272034890009E-4</v>
      </c>
      <c r="U35">
        <f t="shared" si="14"/>
        <v>0.9999856502868657</v>
      </c>
      <c r="V35">
        <f t="shared" si="15"/>
        <v>-5.357190953011395E-3</v>
      </c>
      <c r="X35">
        <f t="shared" si="34"/>
        <v>22.437827045591888</v>
      </c>
      <c r="Y35">
        <f t="shared" si="16"/>
        <v>-80.853142142394404</v>
      </c>
      <c r="Z35">
        <f t="shared" si="35"/>
        <v>99.146857857605596</v>
      </c>
      <c r="AC35">
        <v>1</v>
      </c>
      <c r="AD35">
        <f t="shared" si="17"/>
        <v>0.10178760186000001</v>
      </c>
      <c r="AE35">
        <f t="shared" si="18"/>
        <v>-5.7559532735610433E-7</v>
      </c>
      <c r="AF35">
        <f t="shared" si="19"/>
        <v>1.0744246863000001E-4</v>
      </c>
      <c r="AG35">
        <f t="shared" si="36"/>
        <v>897.48116745874017</v>
      </c>
      <c r="AH35">
        <f t="shared" si="37"/>
        <v>-9312.1146481831292</v>
      </c>
      <c r="AJ35">
        <f t="shared" si="20"/>
        <v>10500</v>
      </c>
      <c r="AK35">
        <f t="shared" si="21"/>
        <v>2.3512936029660003</v>
      </c>
      <c r="AL35">
        <v>1</v>
      </c>
      <c r="AM35">
        <f t="shared" si="22"/>
        <v>0.10710091467709201</v>
      </c>
      <c r="AN35">
        <f t="shared" si="38"/>
        <v>10381.173475719936</v>
      </c>
      <c r="AO35">
        <f t="shared" si="39"/>
        <v>-1109.4818810682057</v>
      </c>
      <c r="AQ35">
        <f t="shared" si="23"/>
        <v>2358.4905660377358</v>
      </c>
      <c r="AR35">
        <f t="shared" si="24"/>
        <v>-4245.2830188679245</v>
      </c>
      <c r="AT35">
        <f t="shared" si="52"/>
        <v>-37415861.31903512</v>
      </c>
      <c r="AU35">
        <f t="shared" si="53"/>
        <v>-25772596.10756807</v>
      </c>
      <c r="AV35">
        <f t="shared" si="42"/>
        <v>-2.5384130998749144</v>
      </c>
      <c r="AW35">
        <f t="shared" si="25"/>
        <v>19784606.414696321</v>
      </c>
      <c r="AX35">
        <f t="shared" si="26"/>
        <v>-46746976.826955609</v>
      </c>
      <c r="AY35">
        <f t="shared" si="50"/>
        <v>-1.1704279551518888</v>
      </c>
      <c r="BA35">
        <f t="shared" si="27"/>
        <v>0.89503552710945544</v>
      </c>
      <c r="BB35">
        <f t="shared" si="43"/>
        <v>-0.96319451331594486</v>
      </c>
      <c r="BC35">
        <f t="shared" si="44"/>
        <v>-1.3679851447230256</v>
      </c>
      <c r="BD35">
        <f t="shared" si="28"/>
        <v>-258.37977531878443</v>
      </c>
      <c r="BF35">
        <f t="shared" si="29"/>
        <v>22.427765754158138</v>
      </c>
      <c r="BG35">
        <f t="shared" si="30"/>
        <v>-80.838253395315846</v>
      </c>
      <c r="BH35">
        <f t="shared" si="45"/>
        <v>99.161746604684154</v>
      </c>
      <c r="BI35">
        <f t="shared" si="46"/>
        <v>99.161746604684154</v>
      </c>
      <c r="BJ35">
        <f t="shared" si="31"/>
        <v>0</v>
      </c>
      <c r="BK35">
        <f t="shared" si="47"/>
        <v>0</v>
      </c>
      <c r="BM35">
        <f t="shared" si="48"/>
        <v>23.390960267474078</v>
      </c>
      <c r="BN35">
        <f t="shared" si="32"/>
        <v>-2.4584780765314065</v>
      </c>
      <c r="BQ35" s="56">
        <f t="shared" si="49"/>
        <v>15.938766286969191</v>
      </c>
      <c r="BR35" s="58"/>
      <c r="BS35" s="58"/>
      <c r="BT35" s="58">
        <v>177.828</v>
      </c>
      <c r="BU35" s="58">
        <v>29.720099999999999</v>
      </c>
      <c r="BV35" s="58">
        <v>-271.56010000000003</v>
      </c>
      <c r="BW35" s="61"/>
      <c r="BY35" s="58"/>
      <c r="BZ35" s="58"/>
      <c r="CA35" s="58"/>
      <c r="CC35" s="58"/>
    </row>
    <row r="36" spans="1:81" x14ac:dyDescent="0.2">
      <c r="A36">
        <f t="shared" si="51"/>
        <v>1000</v>
      </c>
      <c r="B36">
        <f t="shared" si="33"/>
        <v>1</v>
      </c>
      <c r="C36">
        <f t="shared" si="0"/>
        <v>1.000000197392068</v>
      </c>
      <c r="D36">
        <f t="shared" si="1"/>
        <v>6.2831844731661539E-4</v>
      </c>
      <c r="F36">
        <f t="shared" si="2"/>
        <v>0.98614321212082434</v>
      </c>
      <c r="G36">
        <f t="shared" si="3"/>
        <v>-4.8361874722147258E-2</v>
      </c>
      <c r="H36">
        <f t="shared" si="4"/>
        <v>-4.8361874722147258E-2</v>
      </c>
      <c r="J36">
        <f t="shared" si="5"/>
        <v>15</v>
      </c>
      <c r="M36">
        <f t="shared" si="6"/>
        <v>0.79776913921682413</v>
      </c>
      <c r="N36">
        <f t="shared" si="7"/>
        <v>-1.5707963250000001</v>
      </c>
      <c r="O36">
        <f t="shared" si="8"/>
        <v>1.0063751821634812</v>
      </c>
      <c r="P36">
        <f t="shared" si="9"/>
        <v>0.11261879307579836</v>
      </c>
      <c r="Q36">
        <f t="shared" si="10"/>
        <v>1.0070557292832947</v>
      </c>
      <c r="R36">
        <f t="shared" si="11"/>
        <v>0.11844400740713044</v>
      </c>
      <c r="S36">
        <f t="shared" si="12"/>
        <v>0.99999996904576383</v>
      </c>
      <c r="T36">
        <f t="shared" si="13"/>
        <v>-2.4881413274543225E-4</v>
      </c>
      <c r="U36">
        <f t="shared" si="14"/>
        <v>0.99998228439421766</v>
      </c>
      <c r="V36">
        <f t="shared" si="15"/>
        <v>-5.9524210351418411E-3</v>
      </c>
      <c r="X36">
        <f t="shared" si="34"/>
        <v>21.554285642585135</v>
      </c>
      <c r="Y36">
        <f t="shared" si="16"/>
        <v>-79.851312636844256</v>
      </c>
      <c r="Z36">
        <f t="shared" si="35"/>
        <v>100.14868736315574</v>
      </c>
      <c r="AC36">
        <v>1</v>
      </c>
      <c r="AD36">
        <f t="shared" si="17"/>
        <v>0.11309733540000003</v>
      </c>
      <c r="AE36">
        <f t="shared" si="18"/>
        <v>-7.1061151525444973E-7</v>
      </c>
      <c r="AF36">
        <f t="shared" si="19"/>
        <v>1.1938052069999999E-4</v>
      </c>
      <c r="AG36">
        <f t="shared" si="36"/>
        <v>897.47512573168456</v>
      </c>
      <c r="AH36">
        <f t="shared" si="37"/>
        <v>-8381.918174687602</v>
      </c>
      <c r="AJ36">
        <f t="shared" si="20"/>
        <v>10500</v>
      </c>
      <c r="AK36">
        <f t="shared" si="21"/>
        <v>2.6125484477400001</v>
      </c>
      <c r="AL36">
        <v>1</v>
      </c>
      <c r="AM36">
        <f t="shared" si="22"/>
        <v>0.11900101630788001</v>
      </c>
      <c r="AN36">
        <f t="shared" si="38"/>
        <v>10353.689790423856</v>
      </c>
      <c r="AO36">
        <f t="shared" si="39"/>
        <v>-1229.4870591492202</v>
      </c>
      <c r="AQ36">
        <f t="shared" si="23"/>
        <v>2000</v>
      </c>
      <c r="AR36">
        <f t="shared" si="24"/>
        <v>-4000</v>
      </c>
      <c r="AT36">
        <f t="shared" si="52"/>
        <v>-31732722.447287038</v>
      </c>
      <c r="AU36">
        <f t="shared" si="53"/>
        <v>-20353736.85230194</v>
      </c>
      <c r="AV36">
        <f t="shared" si="42"/>
        <v>-2.5712786725483303</v>
      </c>
      <c r="AW36">
        <f t="shared" si="25"/>
        <v>15800175.868726896</v>
      </c>
      <c r="AX36">
        <f t="shared" si="26"/>
        <v>-43927288.292568915</v>
      </c>
      <c r="AY36">
        <f t="shared" si="50"/>
        <v>-1.2255158206772789</v>
      </c>
      <c r="BA36">
        <f t="shared" si="27"/>
        <v>0.80756968066874879</v>
      </c>
      <c r="BB36">
        <f t="shared" si="43"/>
        <v>-1.8563998907897206</v>
      </c>
      <c r="BC36">
        <f t="shared" si="44"/>
        <v>-1.3457628518710514</v>
      </c>
      <c r="BD36">
        <f t="shared" si="28"/>
        <v>-257.10653172580771</v>
      </c>
      <c r="BF36">
        <f t="shared" si="29"/>
        <v>21.544226798955414</v>
      </c>
      <c r="BG36">
        <f t="shared" si="30"/>
        <v>-79.8414630446308</v>
      </c>
      <c r="BH36">
        <f t="shared" si="45"/>
        <v>100.1585369553692</v>
      </c>
      <c r="BI36">
        <f t="shared" si="46"/>
        <v>100.1585369553692</v>
      </c>
      <c r="BJ36">
        <f t="shared" si="31"/>
        <v>0</v>
      </c>
      <c r="BK36">
        <f t="shared" si="47"/>
        <v>0</v>
      </c>
      <c r="BM36">
        <f t="shared" si="48"/>
        <v>23.400626689745138</v>
      </c>
      <c r="BN36">
        <f t="shared" si="32"/>
        <v>-2.7349313188231181</v>
      </c>
      <c r="BQ36" s="56">
        <f t="shared" si="49"/>
        <v>15.045560909495418</v>
      </c>
      <c r="BR36" s="58"/>
      <c r="BS36" s="58"/>
      <c r="BT36" s="58">
        <v>181.97</v>
      </c>
      <c r="BU36" s="58">
        <v>30.042100000000001</v>
      </c>
      <c r="BV36" s="58">
        <v>-268.84590000000003</v>
      </c>
      <c r="BW36" s="61"/>
      <c r="BY36" s="58"/>
      <c r="BZ36" s="58"/>
      <c r="CA36" s="58"/>
      <c r="CC36" s="58"/>
    </row>
    <row r="37" spans="1:81" x14ac:dyDescent="0.2">
      <c r="A37">
        <f>A36+500</f>
        <v>1500</v>
      </c>
      <c r="B37">
        <f t="shared" si="33"/>
        <v>1.5</v>
      </c>
      <c r="C37">
        <f t="shared" si="0"/>
        <v>1.0000004441320984</v>
      </c>
      <c r="D37">
        <f t="shared" si="1"/>
        <v>9.424775159436597E-4</v>
      </c>
      <c r="F37">
        <f t="shared" si="2"/>
        <v>0.99340672228636051</v>
      </c>
      <c r="G37">
        <f t="shared" si="3"/>
        <v>-7.3113770861661112E-2</v>
      </c>
      <c r="H37">
        <f t="shared" si="4"/>
        <v>-7.3113770861661112E-2</v>
      </c>
      <c r="J37">
        <f t="shared" si="5"/>
        <v>15</v>
      </c>
      <c r="M37">
        <f t="shared" si="6"/>
        <v>0.53184609281121598</v>
      </c>
      <c r="N37">
        <f t="shared" si="7"/>
        <v>-1.5707963250000001</v>
      </c>
      <c r="O37">
        <f t="shared" si="8"/>
        <v>1.0142878123924219</v>
      </c>
      <c r="P37">
        <f t="shared" si="9"/>
        <v>0.16804608328980425</v>
      </c>
      <c r="Q37">
        <f t="shared" si="10"/>
        <v>1.0158064747948763</v>
      </c>
      <c r="R37">
        <f t="shared" si="11"/>
        <v>0.17664111134217733</v>
      </c>
      <c r="S37">
        <f t="shared" si="12"/>
        <v>0.99999993035297274</v>
      </c>
      <c r="T37">
        <f t="shared" si="13"/>
        <v>-3.7322118949083461E-4</v>
      </c>
      <c r="U37">
        <f t="shared" si="14"/>
        <v>0.99996014121095667</v>
      </c>
      <c r="V37">
        <f t="shared" si="15"/>
        <v>-8.9284997433295779E-3</v>
      </c>
      <c r="X37">
        <f t="shared" si="34"/>
        <v>18.239187244644942</v>
      </c>
      <c r="Y37">
        <f t="shared" si="16"/>
        <v>-74.918938340519787</v>
      </c>
      <c r="Z37">
        <f t="shared" si="35"/>
        <v>105.08106165948021</v>
      </c>
      <c r="AC37">
        <v>1</v>
      </c>
      <c r="AD37">
        <f t="shared" si="17"/>
        <v>0.1696460031</v>
      </c>
      <c r="AE37">
        <f t="shared" si="18"/>
        <v>-1.5988759093225123E-6</v>
      </c>
      <c r="AF37">
        <f t="shared" si="19"/>
        <v>1.7907078104999999E-4</v>
      </c>
      <c r="AG37">
        <f t="shared" si="36"/>
        <v>897.43537955525267</v>
      </c>
      <c r="AH37">
        <f t="shared" si="37"/>
        <v>-5592.3969390010361</v>
      </c>
      <c r="AJ37">
        <f t="shared" si="20"/>
        <v>10500</v>
      </c>
      <c r="AK37">
        <f t="shared" si="21"/>
        <v>3.9188226716100005</v>
      </c>
      <c r="AL37">
        <v>1</v>
      </c>
      <c r="AM37">
        <f t="shared" si="22"/>
        <v>0.17850152446182002</v>
      </c>
      <c r="AN37">
        <f t="shared" si="38"/>
        <v>10176.449402465365</v>
      </c>
      <c r="AO37">
        <f t="shared" si="39"/>
        <v>-1812.592909277035</v>
      </c>
      <c r="AQ37">
        <f t="shared" si="23"/>
        <v>1000</v>
      </c>
      <c r="AR37">
        <f t="shared" si="24"/>
        <v>-3000</v>
      </c>
      <c r="AT37">
        <f t="shared" si="52"/>
        <v>-15879755.437447855</v>
      </c>
      <c r="AU37">
        <f t="shared" si="53"/>
        <v>-8284703.0776667939</v>
      </c>
      <c r="AV37">
        <f t="shared" si="42"/>
        <v>-2.6607245156466761</v>
      </c>
      <c r="AW37">
        <f t="shared" si="25"/>
        <v>4749242.542763547</v>
      </c>
      <c r="AX37">
        <f t="shared" si="26"/>
        <v>-32378614.821268287</v>
      </c>
      <c r="AY37">
        <f t="shared" si="50"/>
        <v>-1.4251564863996902</v>
      </c>
      <c r="BA37">
        <f t="shared" si="27"/>
        <v>0.54731660651613101</v>
      </c>
      <c r="BB37">
        <f t="shared" si="43"/>
        <v>-5.2352274884963537</v>
      </c>
      <c r="BC37">
        <f t="shared" si="44"/>
        <v>-1.2355680292469859</v>
      </c>
      <c r="BD37">
        <f t="shared" si="28"/>
        <v>-250.79283345804157</v>
      </c>
      <c r="BF37">
        <f t="shared" si="29"/>
        <v>18.229143440249445</v>
      </c>
      <c r="BG37">
        <f t="shared" si="30"/>
        <v>-74.927943973476829</v>
      </c>
      <c r="BH37">
        <f t="shared" si="45"/>
        <v>105.07205602652317</v>
      </c>
      <c r="BI37">
        <f t="shared" si="46"/>
        <v>105.07205602652317</v>
      </c>
      <c r="BJ37">
        <f t="shared" si="31"/>
        <v>0</v>
      </c>
      <c r="BK37">
        <f t="shared" si="47"/>
        <v>0</v>
      </c>
      <c r="BM37">
        <f t="shared" si="48"/>
        <v>23.464370928745794</v>
      </c>
      <c r="BN37">
        <f t="shared" si="32"/>
        <v>-4.1351105154352652</v>
      </c>
      <c r="BQ37" s="56">
        <f t="shared" si="49"/>
        <v>11.666733311788784</v>
      </c>
      <c r="BR37" s="58"/>
      <c r="BS37" s="58"/>
      <c r="BT37" s="58">
        <v>186.209</v>
      </c>
      <c r="BU37" s="58">
        <v>29.901800000000001</v>
      </c>
      <c r="BV37" s="58">
        <v>-265.37959999999998</v>
      </c>
      <c r="BW37" s="61"/>
      <c r="BY37" s="58"/>
      <c r="BZ37" s="58"/>
      <c r="CA37" s="58"/>
      <c r="CC37" s="58"/>
    </row>
    <row r="38" spans="1:81" x14ac:dyDescent="0.2">
      <c r="A38">
        <f t="shared" ref="A38:A101" si="54">A37+500</f>
        <v>2000</v>
      </c>
      <c r="B38">
        <f t="shared" si="33"/>
        <v>2</v>
      </c>
      <c r="C38">
        <f t="shared" si="0"/>
        <v>1.0000007895680385</v>
      </c>
      <c r="D38">
        <f t="shared" si="1"/>
        <v>1.2566363985333933E-3</v>
      </c>
      <c r="F38">
        <f t="shared" si="2"/>
        <v>1.0037155447657189</v>
      </c>
      <c r="G38">
        <f t="shared" si="3"/>
        <v>-9.8568456111146452E-2</v>
      </c>
      <c r="H38">
        <f t="shared" si="4"/>
        <v>-9.8568456111146452E-2</v>
      </c>
      <c r="J38">
        <f t="shared" si="5"/>
        <v>15</v>
      </c>
      <c r="M38">
        <f t="shared" si="6"/>
        <v>0.39888456960841207</v>
      </c>
      <c r="N38">
        <f t="shared" si="7"/>
        <v>-1.5707963250000001</v>
      </c>
      <c r="O38">
        <f t="shared" si="8"/>
        <v>1.025262907306375</v>
      </c>
      <c r="P38">
        <f t="shared" si="9"/>
        <v>0.22245125587195561</v>
      </c>
      <c r="Q38">
        <f t="shared" si="10"/>
        <v>1.0279323749786429</v>
      </c>
      <c r="R38">
        <f t="shared" si="11"/>
        <v>0.2336549738311588</v>
      </c>
      <c r="S38">
        <f t="shared" si="12"/>
        <v>0.99999987618307262</v>
      </c>
      <c r="T38">
        <f t="shared" si="13"/>
        <v>-4.9762823468346251E-4</v>
      </c>
      <c r="U38">
        <f t="shared" si="14"/>
        <v>0.99992914322550486</v>
      </c>
      <c r="V38">
        <f t="shared" si="15"/>
        <v>-1.1904420295947874E-2</v>
      </c>
      <c r="X38">
        <f t="shared" si="34"/>
        <v>16.026369019725905</v>
      </c>
      <c r="Y38">
        <f t="shared" si="16"/>
        <v>-70.153179610101063</v>
      </c>
      <c r="Z38">
        <f t="shared" si="35"/>
        <v>109.84682038989894</v>
      </c>
      <c r="AC38">
        <v>1</v>
      </c>
      <c r="AD38">
        <f t="shared" si="17"/>
        <v>0.22619467080000005</v>
      </c>
      <c r="AE38">
        <f t="shared" si="18"/>
        <v>-2.8424460610177989E-6</v>
      </c>
      <c r="AF38">
        <f t="shared" si="19"/>
        <v>2.3876104139999998E-4</v>
      </c>
      <c r="AG38">
        <f t="shared" si="36"/>
        <v>897.37974082223946</v>
      </c>
      <c r="AH38">
        <f t="shared" si="37"/>
        <v>-4198.9712711545299</v>
      </c>
      <c r="AJ38">
        <f t="shared" si="20"/>
        <v>10500</v>
      </c>
      <c r="AK38">
        <f t="shared" si="21"/>
        <v>5.2250968954800001</v>
      </c>
      <c r="AL38">
        <v>1</v>
      </c>
      <c r="AM38">
        <f t="shared" si="22"/>
        <v>0.23800203261576003</v>
      </c>
      <c r="AN38">
        <f t="shared" si="38"/>
        <v>9938.2894977836622</v>
      </c>
      <c r="AO38">
        <f t="shared" si="39"/>
        <v>-2360.1080043008928</v>
      </c>
      <c r="AQ38">
        <f t="shared" si="23"/>
        <v>588.23529411764707</v>
      </c>
      <c r="AR38">
        <f t="shared" si="24"/>
        <v>-2352.9411764705883</v>
      </c>
      <c r="AT38">
        <f t="shared" si="52"/>
        <v>-9352061.9669387545</v>
      </c>
      <c r="AU38">
        <f t="shared" si="53"/>
        <v>-4581464.8437902872</v>
      </c>
      <c r="AV38">
        <f t="shared" si="42"/>
        <v>-2.686067154886921</v>
      </c>
      <c r="AW38">
        <f t="shared" si="25"/>
        <v>303197.20772973448</v>
      </c>
      <c r="AX38">
        <f t="shared" si="26"/>
        <v>-24800992.740952596</v>
      </c>
      <c r="AY38">
        <f t="shared" si="50"/>
        <v>-1.5585717312955092</v>
      </c>
      <c r="BA38">
        <f t="shared" si="27"/>
        <v>0.41987017855199699</v>
      </c>
      <c r="BB38">
        <f t="shared" si="43"/>
        <v>-7.5376994041325851</v>
      </c>
      <c r="BC38">
        <f t="shared" si="44"/>
        <v>-1.1274954235914119</v>
      </c>
      <c r="BD38">
        <f t="shared" si="28"/>
        <v>-244.60072926591999</v>
      </c>
      <c r="BF38">
        <f t="shared" si="29"/>
        <v>16.016345639420091</v>
      </c>
      <c r="BG38">
        <f t="shared" si="30"/>
        <v>-70.176285838561682</v>
      </c>
      <c r="BH38">
        <f t="shared" si="45"/>
        <v>109.82371416143832</v>
      </c>
      <c r="BI38">
        <f t="shared" si="46"/>
        <v>109.82371416143832</v>
      </c>
      <c r="BJ38">
        <f t="shared" si="31"/>
        <v>0</v>
      </c>
      <c r="BK38">
        <f t="shared" si="47"/>
        <v>0</v>
      </c>
      <c r="BM38">
        <f t="shared" si="48"/>
        <v>23.554045043552676</v>
      </c>
      <c r="BN38">
        <f t="shared" si="32"/>
        <v>-5.5755565726416982</v>
      </c>
      <c r="BQ38" s="56">
        <f t="shared" si="49"/>
        <v>9.3642613961525516</v>
      </c>
      <c r="BR38" s="58"/>
      <c r="BS38" s="58"/>
      <c r="BT38" s="58">
        <v>190.54599999999999</v>
      </c>
      <c r="BU38" s="58">
        <v>29.566700000000001</v>
      </c>
      <c r="BV38" s="58">
        <v>-265.89449999999999</v>
      </c>
      <c r="BW38" s="61"/>
      <c r="BY38" s="58"/>
      <c r="BZ38" s="58"/>
      <c r="CA38" s="58"/>
      <c r="CC38" s="58"/>
    </row>
    <row r="39" spans="1:81" x14ac:dyDescent="0.2">
      <c r="A39">
        <f t="shared" si="54"/>
        <v>2500</v>
      </c>
      <c r="B39">
        <f t="shared" si="33"/>
        <v>2.5</v>
      </c>
      <c r="C39">
        <f t="shared" si="0"/>
        <v>1.0000012336997863</v>
      </c>
      <c r="D39">
        <f t="shared" si="1"/>
        <v>1.5707950330737222E-3</v>
      </c>
      <c r="F39">
        <f t="shared" si="2"/>
        <v>1.0172125952012754</v>
      </c>
      <c r="G39">
        <f t="shared" si="3"/>
        <v>-0.12499048748685855</v>
      </c>
      <c r="H39">
        <f t="shared" si="4"/>
        <v>-0.12499048748685855</v>
      </c>
      <c r="J39">
        <f t="shared" si="5"/>
        <v>15</v>
      </c>
      <c r="M39">
        <f t="shared" si="6"/>
        <v>0.31910765568672961</v>
      </c>
      <c r="N39">
        <f t="shared" si="7"/>
        <v>-1.5707963250000001</v>
      </c>
      <c r="O39">
        <f t="shared" si="8"/>
        <v>1.0392034427705317</v>
      </c>
      <c r="P39">
        <f t="shared" si="9"/>
        <v>0.27555078388234655</v>
      </c>
      <c r="Q39">
        <f t="shared" si="10"/>
        <v>1.0433157536261144</v>
      </c>
      <c r="R39">
        <f t="shared" si="11"/>
        <v>0.28916397546823291</v>
      </c>
      <c r="S39">
        <f t="shared" si="12"/>
        <v>0.99999980653607101</v>
      </c>
      <c r="T39">
        <f t="shared" si="13"/>
        <v>-6.2203526447239424E-4</v>
      </c>
      <c r="U39">
        <f t="shared" si="14"/>
        <v>0.9998892929083194</v>
      </c>
      <c r="V39">
        <f t="shared" si="15"/>
        <v>-1.4880130000619751E-2</v>
      </c>
      <c r="X39">
        <f t="shared" si="34"/>
        <v>14.450178461263473</v>
      </c>
      <c r="Y39">
        <f t="shared" si="16"/>
        <v>-65.603863761997772</v>
      </c>
      <c r="Z39">
        <f t="shared" si="35"/>
        <v>114.39613623800223</v>
      </c>
      <c r="AC39">
        <v>1</v>
      </c>
      <c r="AD39">
        <f t="shared" si="17"/>
        <v>0.2827433385</v>
      </c>
      <c r="AE39">
        <f t="shared" si="18"/>
        <v>-4.4413219703403116E-6</v>
      </c>
      <c r="AF39">
        <f t="shared" si="19"/>
        <v>2.9845130175000002E-4</v>
      </c>
      <c r="AG39">
        <f t="shared" si="36"/>
        <v>897.30821544474895</v>
      </c>
      <c r="AH39">
        <f t="shared" si="37"/>
        <v>-3363.9834331579409</v>
      </c>
      <c r="AJ39">
        <f t="shared" si="20"/>
        <v>10500</v>
      </c>
      <c r="AK39">
        <f t="shared" si="21"/>
        <v>6.531371119350001</v>
      </c>
      <c r="AL39">
        <v>1</v>
      </c>
      <c r="AM39">
        <f t="shared" si="22"/>
        <v>0.29750254076970001</v>
      </c>
      <c r="AN39">
        <f t="shared" si="38"/>
        <v>9648.0185703770185</v>
      </c>
      <c r="AO39">
        <f t="shared" si="39"/>
        <v>-2863.7786669610623</v>
      </c>
      <c r="AQ39">
        <f t="shared" si="23"/>
        <v>384.61538461538464</v>
      </c>
      <c r="AR39">
        <f t="shared" si="24"/>
        <v>-1923.0769230769231</v>
      </c>
      <c r="AT39">
        <f t="shared" si="52"/>
        <v>-6124080.3655172912</v>
      </c>
      <c r="AU39">
        <f t="shared" si="53"/>
        <v>-3019432.5039929561</v>
      </c>
      <c r="AV39">
        <f t="shared" si="42"/>
        <v>-2.6835264398581855</v>
      </c>
      <c r="AW39">
        <f t="shared" si="25"/>
        <v>-1786433.1960580223</v>
      </c>
      <c r="AX39">
        <f t="shared" si="26"/>
        <v>-19679075.695035648</v>
      </c>
      <c r="AY39">
        <f t="shared" si="50"/>
        <v>-1.6613265016223016</v>
      </c>
      <c r="BA39">
        <f t="shared" si="27"/>
        <v>0.34554573294490554</v>
      </c>
      <c r="BB39">
        <f t="shared" si="43"/>
        <v>-9.2298893130478987</v>
      </c>
      <c r="BC39">
        <f t="shared" si="44"/>
        <v>-1.022199938235884</v>
      </c>
      <c r="BD39">
        <f t="shared" si="28"/>
        <v>-238.56774234637297</v>
      </c>
      <c r="BF39">
        <f t="shared" si="29"/>
        <v>14.44018116390383</v>
      </c>
      <c r="BG39">
        <f t="shared" si="30"/>
        <v>-65.639169840857747</v>
      </c>
      <c r="BH39">
        <f t="shared" si="45"/>
        <v>114.36083015914225</v>
      </c>
      <c r="BI39">
        <f t="shared" si="46"/>
        <v>114.36083015914225</v>
      </c>
      <c r="BJ39">
        <f t="shared" si="31"/>
        <v>0</v>
      </c>
      <c r="BK39">
        <f t="shared" si="47"/>
        <v>0</v>
      </c>
      <c r="BM39">
        <f t="shared" si="48"/>
        <v>23.670070476951729</v>
      </c>
      <c r="BN39">
        <f t="shared" si="32"/>
        <v>-7.0714274944847695</v>
      </c>
      <c r="BQ39" s="56">
        <f t="shared" si="49"/>
        <v>7.672071487237238</v>
      </c>
      <c r="BR39" s="58"/>
      <c r="BS39" s="58"/>
      <c r="BT39" s="58">
        <v>194.98400000000001</v>
      </c>
      <c r="BU39" s="58">
        <v>29.685600000000001</v>
      </c>
      <c r="BV39" s="58">
        <v>-265.6327</v>
      </c>
      <c r="BW39" s="61"/>
      <c r="BY39" s="58"/>
      <c r="BZ39" s="58"/>
      <c r="CA39" s="58"/>
      <c r="CC39" s="58"/>
    </row>
    <row r="40" spans="1:81" x14ac:dyDescent="0.2">
      <c r="A40">
        <f t="shared" si="54"/>
        <v>3000</v>
      </c>
      <c r="B40">
        <f t="shared" si="33"/>
        <v>3</v>
      </c>
      <c r="C40">
        <f t="shared" si="0"/>
        <v>1.0000017765272102</v>
      </c>
      <c r="D40">
        <f t="shared" si="1"/>
        <v>1.884953357552846E-3</v>
      </c>
      <c r="F40">
        <f t="shared" si="2"/>
        <v>1.0340856177911792</v>
      </c>
      <c r="G40">
        <f t="shared" si="3"/>
        <v>-0.15267222854790302</v>
      </c>
      <c r="H40">
        <f t="shared" si="4"/>
        <v>-0.15267222854790302</v>
      </c>
      <c r="J40">
        <f t="shared" si="5"/>
        <v>15</v>
      </c>
      <c r="M40">
        <f t="shared" si="6"/>
        <v>0.26592304640560799</v>
      </c>
      <c r="N40">
        <f t="shared" si="7"/>
        <v>-1.5707963250000001</v>
      </c>
      <c r="O40">
        <f t="shared" si="8"/>
        <v>1.0559919817267651</v>
      </c>
      <c r="P40">
        <f t="shared" si="9"/>
        <v>0.3271037393865267</v>
      </c>
      <c r="Q40">
        <f t="shared" si="10"/>
        <v>1.0618150389501813</v>
      </c>
      <c r="R40">
        <f t="shared" si="11"/>
        <v>0.34289994212050057</v>
      </c>
      <c r="S40">
        <f t="shared" si="12"/>
        <v>0.9999997214119779</v>
      </c>
      <c r="T40">
        <f t="shared" si="13"/>
        <v>-7.4644227500671146E-4</v>
      </c>
      <c r="U40">
        <f t="shared" si="14"/>
        <v>0.99984059343476406</v>
      </c>
      <c r="V40">
        <f t="shared" si="15"/>
        <v>-1.7855576187370298E-2</v>
      </c>
      <c r="X40">
        <f t="shared" si="34"/>
        <v>13.300892854791208</v>
      </c>
      <c r="Y40">
        <f t="shared" si="16"/>
        <v>-61.316908379648119</v>
      </c>
      <c r="Z40">
        <f t="shared" si="35"/>
        <v>118.68309162035189</v>
      </c>
      <c r="AA40">
        <f>20*LOG(7)</f>
        <v>16.901960800285135</v>
      </c>
      <c r="AC40">
        <v>1</v>
      </c>
      <c r="AD40">
        <f t="shared" si="17"/>
        <v>0.3392920062</v>
      </c>
      <c r="AE40">
        <f t="shared" si="18"/>
        <v>-6.395503637290049E-6</v>
      </c>
      <c r="AF40">
        <f t="shared" si="19"/>
        <v>3.5814156209999998E-4</v>
      </c>
      <c r="AG40">
        <f t="shared" si="36"/>
        <v>897.22081102136804</v>
      </c>
      <c r="AH40">
        <f t="shared" si="37"/>
        <v>-2808.214084573402</v>
      </c>
      <c r="AJ40">
        <f t="shared" si="20"/>
        <v>10500</v>
      </c>
      <c r="AK40">
        <f t="shared" si="21"/>
        <v>7.8376453432200011</v>
      </c>
      <c r="AL40">
        <v>1</v>
      </c>
      <c r="AM40">
        <f t="shared" si="22"/>
        <v>0.35700304892364004</v>
      </c>
      <c r="AN40">
        <f t="shared" si="38"/>
        <v>9315.5236147628093</v>
      </c>
      <c r="AO40">
        <f t="shared" si="39"/>
        <v>-3317.8326874472718</v>
      </c>
      <c r="AQ40">
        <f t="shared" si="23"/>
        <v>270.27027027027026</v>
      </c>
      <c r="AR40">
        <f t="shared" si="24"/>
        <v>-1621.6216216216217</v>
      </c>
      <c r="AT40">
        <f t="shared" si="52"/>
        <v>-4311368.5665997416</v>
      </c>
      <c r="AU40">
        <f t="shared" si="53"/>
        <v>-2213929.4461355703</v>
      </c>
      <c r="AV40">
        <f t="shared" si="42"/>
        <v>-2.66719581297601</v>
      </c>
      <c r="AW40">
        <f t="shared" si="25"/>
        <v>-2852826.9448058647</v>
      </c>
      <c r="AX40">
        <f t="shared" si="26"/>
        <v>-16023660.50092352</v>
      </c>
      <c r="AY40">
        <f t="shared" si="50"/>
        <v>-1.7469885825789981</v>
      </c>
      <c r="BA40">
        <f t="shared" si="27"/>
        <v>0.29778158669952237</v>
      </c>
      <c r="BB40">
        <f t="shared" si="43"/>
        <v>-10.52204320635963</v>
      </c>
      <c r="BC40">
        <f t="shared" si="44"/>
        <v>-0.92020723039701191</v>
      </c>
      <c r="BD40">
        <f t="shared" si="28"/>
        <v>-232.72399063941728</v>
      </c>
      <c r="BF40">
        <f t="shared" si="29"/>
        <v>13.290927364272019</v>
      </c>
      <c r="BG40">
        <f t="shared" si="30"/>
        <v>-61.36346512197408</v>
      </c>
      <c r="BH40">
        <f t="shared" si="45"/>
        <v>118.63653487802591</v>
      </c>
      <c r="BI40">
        <f t="shared" si="46"/>
        <v>118.63653487802591</v>
      </c>
      <c r="BJ40">
        <f t="shared" si="31"/>
        <v>0</v>
      </c>
      <c r="BK40">
        <f t="shared" si="47"/>
        <v>0</v>
      </c>
      <c r="BM40">
        <f t="shared" si="48"/>
        <v>23.812970570631649</v>
      </c>
      <c r="BN40">
        <f t="shared" si="32"/>
        <v>-8.6394744825568104</v>
      </c>
      <c r="BQ40" s="56">
        <f t="shared" si="49"/>
        <v>6.3799175939255068</v>
      </c>
      <c r="BR40" s="58"/>
      <c r="BS40" s="58"/>
      <c r="BT40" s="58">
        <v>199.52600000000001</v>
      </c>
      <c r="BU40" s="58">
        <v>29.050999999999998</v>
      </c>
      <c r="BV40" s="58">
        <v>-267.80150000000003</v>
      </c>
      <c r="BW40" s="61"/>
      <c r="BY40" s="58"/>
      <c r="BZ40" s="58"/>
      <c r="CA40" s="58"/>
      <c r="CC40" s="58"/>
    </row>
    <row r="41" spans="1:81" x14ac:dyDescent="0.2">
      <c r="A41">
        <f t="shared" si="54"/>
        <v>3500</v>
      </c>
      <c r="B41">
        <f t="shared" si="33"/>
        <v>3.5</v>
      </c>
      <c r="C41">
        <f t="shared" si="0"/>
        <v>1.0000024180501492</v>
      </c>
      <c r="D41">
        <f t="shared" si="1"/>
        <v>2.1991113099593318E-3</v>
      </c>
      <c r="F41">
        <f t="shared" si="2"/>
        <v>1.0545695228363845</v>
      </c>
      <c r="G41">
        <f t="shared" si="3"/>
        <v>-0.18194320491185262</v>
      </c>
      <c r="H41">
        <f t="shared" si="4"/>
        <v>-0.18194320491185262</v>
      </c>
      <c r="J41">
        <f t="shared" si="5"/>
        <v>15</v>
      </c>
      <c r="M41">
        <f t="shared" si="6"/>
        <v>0.22793403977623544</v>
      </c>
      <c r="N41">
        <f t="shared" si="7"/>
        <v>-1.5707963250000001</v>
      </c>
      <c r="O41">
        <f t="shared" si="8"/>
        <v>1.0754951599675409</v>
      </c>
      <c r="P41">
        <f t="shared" si="9"/>
        <v>0.37691561652486399</v>
      </c>
      <c r="Q41">
        <f t="shared" si="10"/>
        <v>1.0832706093392717</v>
      </c>
      <c r="R41">
        <f t="shared" si="11"/>
        <v>0.39465213070033223</v>
      </c>
      <c r="S41">
        <f t="shared" si="12"/>
        <v>0.99999962081080496</v>
      </c>
      <c r="T41">
        <f t="shared" si="13"/>
        <v>-8.7084926243549883E-4</v>
      </c>
      <c r="U41">
        <f t="shared" si="14"/>
        <v>0.99978304868440793</v>
      </c>
      <c r="V41">
        <f t="shared" si="15"/>
        <v>-2.0830706214216031E-2</v>
      </c>
      <c r="X41">
        <f t="shared" si="34"/>
        <v>12.464554757826862</v>
      </c>
      <c r="Y41">
        <f t="shared" si="16"/>
        <v>-57.334409931727706</v>
      </c>
      <c r="Z41">
        <f t="shared" si="35"/>
        <v>122.66559006827229</v>
      </c>
      <c r="AC41">
        <v>1</v>
      </c>
      <c r="AD41">
        <f t="shared" si="17"/>
        <v>0.39584067390000005</v>
      </c>
      <c r="AE41">
        <f t="shared" si="18"/>
        <v>-8.7049910618670095E-6</v>
      </c>
      <c r="AF41">
        <f t="shared" si="19"/>
        <v>4.1783182244999994E-4</v>
      </c>
      <c r="AG41">
        <f t="shared" si="36"/>
        <v>897.11753683514519</v>
      </c>
      <c r="AH41">
        <f t="shared" si="37"/>
        <v>-2411.9977129319636</v>
      </c>
      <c r="AJ41">
        <f t="shared" si="20"/>
        <v>10500</v>
      </c>
      <c r="AK41">
        <f t="shared" si="21"/>
        <v>9.1439195670900002</v>
      </c>
      <c r="AL41">
        <v>1</v>
      </c>
      <c r="AM41">
        <f t="shared" si="22"/>
        <v>0.41650355707758002</v>
      </c>
      <c r="AN41">
        <f t="shared" si="38"/>
        <v>8951.0271355886616</v>
      </c>
      <c r="AO41">
        <f t="shared" si="39"/>
        <v>-3718.9907219035294</v>
      </c>
      <c r="AQ41">
        <f t="shared" si="23"/>
        <v>200</v>
      </c>
      <c r="AR41">
        <f t="shared" si="24"/>
        <v>-1400</v>
      </c>
      <c r="AT41">
        <f t="shared" si="52"/>
        <v>-3197373.2907377202</v>
      </c>
      <c r="AU41">
        <f t="shared" si="53"/>
        <v>-1738364.0941555959</v>
      </c>
      <c r="AV41">
        <f t="shared" si="42"/>
        <v>-2.6436106886749813</v>
      </c>
      <c r="AW41">
        <f t="shared" si="25"/>
        <v>-3407003.4757245956</v>
      </c>
      <c r="AX41">
        <f t="shared" si="26"/>
        <v>-13293830.237027356</v>
      </c>
      <c r="AY41">
        <f t="shared" si="50"/>
        <v>-1.8216810707274422</v>
      </c>
      <c r="BA41">
        <f t="shared" si="27"/>
        <v>0.2651940743128563</v>
      </c>
      <c r="BB41">
        <f t="shared" si="43"/>
        <v>-11.528723686942557</v>
      </c>
      <c r="BC41">
        <f t="shared" si="44"/>
        <v>-0.82192961794753905</v>
      </c>
      <c r="BD41">
        <f t="shared" si="28"/>
        <v>-227.0930982190059</v>
      </c>
      <c r="BF41">
        <f t="shared" si="29"/>
        <v>12.454626817528071</v>
      </c>
      <c r="BG41">
        <f t="shared" si="30"/>
        <v>-57.391676186566642</v>
      </c>
      <c r="BH41">
        <f t="shared" si="45"/>
        <v>122.60832381343336</v>
      </c>
      <c r="BI41">
        <f t="shared" si="46"/>
        <v>122.60832381343336</v>
      </c>
      <c r="BJ41">
        <f t="shared" si="31"/>
        <v>0</v>
      </c>
      <c r="BK41">
        <f t="shared" si="47"/>
        <v>0</v>
      </c>
      <c r="BM41">
        <f t="shared" si="48"/>
        <v>23.983350504470632</v>
      </c>
      <c r="BN41">
        <f t="shared" si="32"/>
        <v>-10.298577967560748</v>
      </c>
      <c r="BQ41" s="56">
        <f t="shared" si="49"/>
        <v>5.3732371133425794</v>
      </c>
      <c r="BR41" s="58"/>
      <c r="BS41" s="58"/>
      <c r="BT41" s="58">
        <v>204.17400000000001</v>
      </c>
      <c r="BU41" s="58">
        <v>28.424299999999999</v>
      </c>
      <c r="BV41" s="58">
        <v>-264.16840000000002</v>
      </c>
      <c r="BW41" s="61"/>
      <c r="BY41" s="58"/>
      <c r="BZ41" s="58"/>
      <c r="CA41" s="58"/>
      <c r="CC41" s="58"/>
    </row>
    <row r="42" spans="1:81" x14ac:dyDescent="0.2">
      <c r="A42">
        <f t="shared" si="54"/>
        <v>4000</v>
      </c>
      <c r="B42">
        <f t="shared" si="33"/>
        <v>4</v>
      </c>
      <c r="C42">
        <f t="shared" si="0"/>
        <v>1.0000031582684139</v>
      </c>
      <c r="D42">
        <f t="shared" si="1"/>
        <v>2.5132688282821867E-3</v>
      </c>
      <c r="F42">
        <f t="shared" si="2"/>
        <v>1.0789482055137429</v>
      </c>
      <c r="G42">
        <f t="shared" si="3"/>
        <v>-0.2131812112292614</v>
      </c>
      <c r="H42">
        <f t="shared" si="4"/>
        <v>-0.2131812112292614</v>
      </c>
      <c r="J42">
        <f t="shared" si="5"/>
        <v>15</v>
      </c>
      <c r="M42">
        <f t="shared" si="6"/>
        <v>0.19944228480420603</v>
      </c>
      <c r="N42">
        <f t="shared" si="7"/>
        <v>-1.5707963250000001</v>
      </c>
      <c r="O42">
        <f t="shared" si="8"/>
        <v>1.0975682741375505</v>
      </c>
      <c r="P42">
        <f t="shared" si="9"/>
        <v>0.42483912693617931</v>
      </c>
      <c r="Q42">
        <f t="shared" si="10"/>
        <v>1.1075106636583385</v>
      </c>
      <c r="R42">
        <f t="shared" si="11"/>
        <v>0.44426724468641693</v>
      </c>
      <c r="S42">
        <f t="shared" si="12"/>
        <v>0.99999950473256616</v>
      </c>
      <c r="T42">
        <f t="shared" si="13"/>
        <v>-9.9525622290784596E-4</v>
      </c>
      <c r="U42">
        <f t="shared" si="14"/>
        <v>0.99971666324016628</v>
      </c>
      <c r="V42">
        <f t="shared" si="15"/>
        <v>-2.3805467472746832E-2</v>
      </c>
      <c r="X42">
        <f t="shared" si="34"/>
        <v>11.871332918157574</v>
      </c>
      <c r="Y42">
        <f t="shared" si="16"/>
        <v>-53.695233691524834</v>
      </c>
      <c r="Z42">
        <f t="shared" si="35"/>
        <v>126.30476630847517</v>
      </c>
      <c r="AC42">
        <v>1</v>
      </c>
      <c r="AD42">
        <f t="shared" si="17"/>
        <v>0.45238934160000011</v>
      </c>
      <c r="AE42">
        <f t="shared" si="18"/>
        <v>-1.1369784244071196E-5</v>
      </c>
      <c r="AF42">
        <f t="shared" si="19"/>
        <v>4.7752208279999996E-4</v>
      </c>
      <c r="AG42">
        <f t="shared" si="36"/>
        <v>896.99840385112725</v>
      </c>
      <c r="AH42">
        <f t="shared" si="37"/>
        <v>-2115.5014913565037</v>
      </c>
      <c r="AJ42">
        <f t="shared" si="20"/>
        <v>10500</v>
      </c>
      <c r="AK42">
        <f t="shared" si="21"/>
        <v>10.45019379096</v>
      </c>
      <c r="AL42">
        <v>1</v>
      </c>
      <c r="AM42">
        <f t="shared" si="22"/>
        <v>0.47600406523152006</v>
      </c>
      <c r="AN42">
        <f t="shared" si="38"/>
        <v>8564.4437762748257</v>
      </c>
      <c r="AO42">
        <f t="shared" si="39"/>
        <v>-4066.2598601626487</v>
      </c>
      <c r="AQ42">
        <f t="shared" si="23"/>
        <v>153.84615384615384</v>
      </c>
      <c r="AR42">
        <f t="shared" si="24"/>
        <v>-1230.7692307692307</v>
      </c>
      <c r="AT42">
        <f t="shared" si="52"/>
        <v>-2465694.3887693696</v>
      </c>
      <c r="AU42">
        <f t="shared" si="53"/>
        <v>-1429459.8034100803</v>
      </c>
      <c r="AV42">
        <f t="shared" si="42"/>
        <v>-2.6162039995795991</v>
      </c>
      <c r="AW42">
        <f t="shared" si="25"/>
        <v>-3678019.2864091583</v>
      </c>
      <c r="AX42">
        <f t="shared" si="26"/>
        <v>-11183496.840961413</v>
      </c>
      <c r="AY42">
        <f t="shared" si="50"/>
        <v>-1.8885328022001884</v>
      </c>
      <c r="BA42">
        <f t="shared" si="27"/>
        <v>0.24209130198916701</v>
      </c>
      <c r="BB42">
        <f t="shared" si="43"/>
        <v>-12.320416277746729</v>
      </c>
      <c r="BC42">
        <f t="shared" si="44"/>
        <v>-0.72767119737941077</v>
      </c>
      <c r="BD42">
        <f t="shared" si="28"/>
        <v>-221.69248853071196</v>
      </c>
      <c r="BF42">
        <f t="shared" si="29"/>
        <v>11.8614482766284</v>
      </c>
      <c r="BG42">
        <f t="shared" si="30"/>
        <v>-53.762872522785592</v>
      </c>
      <c r="BH42">
        <f t="shared" si="45"/>
        <v>126.23712747721441</v>
      </c>
      <c r="BI42">
        <f t="shared" si="46"/>
        <v>126.23712747721441</v>
      </c>
      <c r="BJ42">
        <f t="shared" si="31"/>
        <v>0</v>
      </c>
      <c r="BK42">
        <f t="shared" si="47"/>
        <v>0</v>
      </c>
      <c r="BM42">
        <f t="shared" si="48"/>
        <v>24.181864554375124</v>
      </c>
      <c r="BN42">
        <f t="shared" si="32"/>
        <v>-12.070383992073657</v>
      </c>
      <c r="BQ42" s="56">
        <f t="shared" si="49"/>
        <v>4.5815445225384082</v>
      </c>
      <c r="BR42" s="58"/>
      <c r="BS42" s="58"/>
      <c r="BT42" s="58">
        <v>208.93</v>
      </c>
      <c r="BU42" s="58">
        <v>28.510899999999999</v>
      </c>
      <c r="BV42" s="58">
        <v>-267.69110000000001</v>
      </c>
      <c r="BW42" s="61"/>
      <c r="BY42" s="58"/>
      <c r="BZ42" s="58"/>
      <c r="CA42" s="58"/>
      <c r="CC42" s="58"/>
    </row>
    <row r="43" spans="1:81" x14ac:dyDescent="0.2">
      <c r="A43">
        <f t="shared" si="54"/>
        <v>4500</v>
      </c>
      <c r="B43">
        <f t="shared" si="33"/>
        <v>4.5</v>
      </c>
      <c r="C43">
        <f t="shared" si="0"/>
        <v>1.0000039971817845</v>
      </c>
      <c r="D43">
        <f t="shared" si="1"/>
        <v>2.8274258505109327E-3</v>
      </c>
      <c r="F43">
        <f t="shared" si="2"/>
        <v>1.1075546950022661</v>
      </c>
      <c r="G43">
        <f t="shared" si="3"/>
        <v>-0.24682563556706638</v>
      </c>
      <c r="H43">
        <f t="shared" si="4"/>
        <v>-0.24682563556706638</v>
      </c>
      <c r="J43">
        <f t="shared" si="5"/>
        <v>15</v>
      </c>
      <c r="M43">
        <f t="shared" si="6"/>
        <v>0.17728203093707198</v>
      </c>
      <c r="N43">
        <f t="shared" si="7"/>
        <v>-1.5707963250000001</v>
      </c>
      <c r="O43">
        <f t="shared" si="8"/>
        <v>1.1220596674465431</v>
      </c>
      <c r="P43">
        <f t="shared" si="9"/>
        <v>0.47077242278766518</v>
      </c>
      <c r="Q43">
        <f t="shared" si="10"/>
        <v>1.1343567111436963</v>
      </c>
      <c r="R43">
        <f t="shared" si="11"/>
        <v>0.49164621383020801</v>
      </c>
      <c r="S43">
        <f t="shared" si="12"/>
        <v>0.99999937317727794</v>
      </c>
      <c r="T43">
        <f t="shared" si="13"/>
        <v>-1.1196631525728464E-3</v>
      </c>
      <c r="U43">
        <f t="shared" si="14"/>
        <v>0.99964144238728747</v>
      </c>
      <c r="V43">
        <f t="shared" si="15"/>
        <v>-2.6779807393698951E-2</v>
      </c>
      <c r="X43">
        <f t="shared" si="34"/>
        <v>11.474649454289841</v>
      </c>
      <c r="Y43">
        <f t="shared" si="16"/>
        <v>-50.436063490310161</v>
      </c>
      <c r="Z43">
        <f t="shared" si="35"/>
        <v>129.56393650968982</v>
      </c>
      <c r="AC43">
        <v>1</v>
      </c>
      <c r="AD43">
        <f t="shared" si="17"/>
        <v>0.5089380093000001</v>
      </c>
      <c r="AE43">
        <f t="shared" si="18"/>
        <v>-1.4389883183902609E-5</v>
      </c>
      <c r="AF43">
        <f t="shared" si="19"/>
        <v>5.3721234314999997E-4</v>
      </c>
      <c r="AG43">
        <f t="shared" si="36"/>
        <v>896.86342471345245</v>
      </c>
      <c r="AH43">
        <f t="shared" si="37"/>
        <v>-1885.4848977859742</v>
      </c>
      <c r="AJ43">
        <f t="shared" si="20"/>
        <v>10500</v>
      </c>
      <c r="AK43">
        <f t="shared" si="21"/>
        <v>11.756468014830002</v>
      </c>
      <c r="AL43">
        <v>1</v>
      </c>
      <c r="AM43">
        <f t="shared" si="22"/>
        <v>0.53550457338546009</v>
      </c>
      <c r="AN43">
        <f t="shared" si="38"/>
        <v>8164.8898074099861</v>
      </c>
      <c r="AO43">
        <f t="shared" si="39"/>
        <v>-4360.5793650415462</v>
      </c>
      <c r="AQ43">
        <f t="shared" si="23"/>
        <v>121.95121951219512</v>
      </c>
      <c r="AR43">
        <f t="shared" si="24"/>
        <v>-1097.560975609756</v>
      </c>
      <c r="AT43">
        <f t="shared" si="52"/>
        <v>-1960061.0555317458</v>
      </c>
      <c r="AU43">
        <f t="shared" si="53"/>
        <v>-1214299.47807403</v>
      </c>
      <c r="AV43">
        <f t="shared" si="42"/>
        <v>-2.5869428170219311</v>
      </c>
      <c r="AW43">
        <f t="shared" si="25"/>
        <v>-3781671.2274419572</v>
      </c>
      <c r="AX43">
        <f t="shared" si="26"/>
        <v>-9509141.268659927</v>
      </c>
      <c r="AY43">
        <f t="shared" si="50"/>
        <v>-1.9493079996488152</v>
      </c>
      <c r="BA43">
        <f t="shared" si="27"/>
        <v>0.22531106247436222</v>
      </c>
      <c r="BB43">
        <f t="shared" si="43"/>
        <v>-12.944349689391501</v>
      </c>
      <c r="BC43">
        <f t="shared" si="44"/>
        <v>-0.63763481737311589</v>
      </c>
      <c r="BD43">
        <f t="shared" si="28"/>
        <v>-216.5337839478205</v>
      </c>
      <c r="BF43">
        <f t="shared" si="29"/>
        <v>11.464813859445375</v>
      </c>
      <c r="BG43">
        <f t="shared" si="30"/>
        <v>-50.51385158930163</v>
      </c>
      <c r="BH43">
        <f t="shared" si="45"/>
        <v>129.48614841069838</v>
      </c>
      <c r="BI43">
        <f t="shared" si="46"/>
        <v>129.48614841069838</v>
      </c>
      <c r="BJ43">
        <f t="shared" si="31"/>
        <v>0</v>
      </c>
      <c r="BK43">
        <f t="shared" si="47"/>
        <v>0</v>
      </c>
      <c r="BM43">
        <f t="shared" si="48"/>
        <v>24.409163548836879</v>
      </c>
      <c r="BN43">
        <f t="shared" si="32"/>
        <v>-13.980067641481137</v>
      </c>
      <c r="BQ43" s="56">
        <f t="shared" si="49"/>
        <v>3.9576111108936347</v>
      </c>
      <c r="BR43" s="58"/>
      <c r="BS43" s="58"/>
      <c r="BT43" s="58">
        <v>213.79599999999999</v>
      </c>
      <c r="BU43" s="58">
        <v>28.178999999999998</v>
      </c>
      <c r="BV43" s="58">
        <v>-266.9667</v>
      </c>
      <c r="BW43" s="61"/>
      <c r="BY43" s="58"/>
      <c r="BZ43" s="58"/>
      <c r="CA43" s="58"/>
      <c r="CC43" s="58"/>
    </row>
    <row r="44" spans="1:81" x14ac:dyDescent="0.2">
      <c r="A44">
        <f t="shared" si="54"/>
        <v>5000</v>
      </c>
      <c r="B44">
        <f t="shared" si="33"/>
        <v>5</v>
      </c>
      <c r="C44">
        <f t="shared" si="0"/>
        <v>1.0000049347900131</v>
      </c>
      <c r="D44">
        <f t="shared" si="1"/>
        <v>3.141582314635679E-3</v>
      </c>
      <c r="F44">
        <f t="shared" si="2"/>
        <v>1.1407676041382528</v>
      </c>
      <c r="G44">
        <f t="shared" si="3"/>
        <v>-0.28339345978121255</v>
      </c>
      <c r="H44">
        <f t="shared" si="4"/>
        <v>-0.28339345978121255</v>
      </c>
      <c r="J44">
        <f t="shared" si="5"/>
        <v>15</v>
      </c>
      <c r="M44">
        <f t="shared" si="6"/>
        <v>0.1595538278433648</v>
      </c>
      <c r="N44">
        <f t="shared" si="7"/>
        <v>-1.5707963250000001</v>
      </c>
      <c r="O44">
        <f t="shared" si="8"/>
        <v>1.1488146856062131</v>
      </c>
      <c r="P44">
        <f t="shared" si="9"/>
        <v>0.51465537566738218</v>
      </c>
      <c r="Q44">
        <f t="shared" si="10"/>
        <v>1.1636283973235217</v>
      </c>
      <c r="R44">
        <f t="shared" si="11"/>
        <v>0.53673867147166865</v>
      </c>
      <c r="S44">
        <f t="shared" si="12"/>
        <v>0.99999922614495818</v>
      </c>
      <c r="T44">
        <f t="shared" si="13"/>
        <v>-1.2440700475796007E-3</v>
      </c>
      <c r="U44">
        <f t="shared" si="14"/>
        <v>0.99955739211218508</v>
      </c>
      <c r="V44">
        <f t="shared" si="15"/>
        <v>-2.9753673452517657E-2</v>
      </c>
      <c r="X44">
        <f t="shared" si="34"/>
        <v>11.24138997114083</v>
      </c>
      <c r="Y44">
        <f t="shared" si="16"/>
        <v>-47.592848101733424</v>
      </c>
      <c r="Z44">
        <f t="shared" si="35"/>
        <v>132.40715189826659</v>
      </c>
      <c r="AC44">
        <v>1</v>
      </c>
      <c r="AD44">
        <f t="shared" si="17"/>
        <v>0.56548667699999999</v>
      </c>
      <c r="AE44">
        <f t="shared" si="18"/>
        <v>-1.7765287881361246E-5</v>
      </c>
      <c r="AF44">
        <f t="shared" si="19"/>
        <v>5.9690260350000004E-4</v>
      </c>
      <c r="AG44">
        <f t="shared" si="36"/>
        <v>896.71261374199571</v>
      </c>
      <c r="AH44">
        <f t="shared" si="37"/>
        <v>-1702.0035626800118</v>
      </c>
      <c r="AJ44">
        <f t="shared" si="20"/>
        <v>10500</v>
      </c>
      <c r="AK44">
        <f t="shared" si="21"/>
        <v>13.062742238700002</v>
      </c>
      <c r="AL44">
        <v>1</v>
      </c>
      <c r="AM44">
        <f t="shared" si="22"/>
        <v>0.59500508153940002</v>
      </c>
      <c r="AN44">
        <f t="shared" si="38"/>
        <v>7760.3629701432028</v>
      </c>
      <c r="AO44">
        <f t="shared" si="39"/>
        <v>-4604.3926595866969</v>
      </c>
      <c r="AQ44">
        <f t="shared" si="23"/>
        <v>99.009900990099013</v>
      </c>
      <c r="AR44">
        <f t="shared" si="24"/>
        <v>-990.09900990099015</v>
      </c>
      <c r="AT44">
        <f t="shared" si="52"/>
        <v>-1596368.6151542696</v>
      </c>
      <c r="AU44">
        <f t="shared" si="53"/>
        <v>-1056349.4752574228</v>
      </c>
      <c r="AV44">
        <f t="shared" si="42"/>
        <v>-2.5570222988837665</v>
      </c>
      <c r="AW44">
        <f t="shared" si="25"/>
        <v>-3782233.7072212063</v>
      </c>
      <c r="AX44">
        <f t="shared" si="26"/>
        <v>-8154383.0419782503</v>
      </c>
      <c r="AY44">
        <f t="shared" si="50"/>
        <v>-2.0050901857693688</v>
      </c>
      <c r="BA44">
        <f t="shared" si="27"/>
        <v>0.21295599801429696</v>
      </c>
      <c r="BB44">
        <f t="shared" si="43"/>
        <v>-13.434202465847665</v>
      </c>
      <c r="BC44">
        <f t="shared" si="44"/>
        <v>-0.55193211311439772</v>
      </c>
      <c r="BD44">
        <f t="shared" si="28"/>
        <v>-211.62338069532711</v>
      </c>
      <c r="BF44">
        <f t="shared" si="29"/>
        <v>11.231609167351763</v>
      </c>
      <c r="BG44">
        <f t="shared" si="30"/>
        <v>-47.680630493127559</v>
      </c>
      <c r="BH44">
        <f t="shared" si="45"/>
        <v>132.31936950687245</v>
      </c>
      <c r="BI44">
        <f t="shared" si="46"/>
        <v>132.31936950687245</v>
      </c>
      <c r="BJ44">
        <f t="shared" si="31"/>
        <v>0</v>
      </c>
      <c r="BK44">
        <f t="shared" si="47"/>
        <v>0</v>
      </c>
      <c r="BM44">
        <f t="shared" si="48"/>
        <v>24.665811633199432</v>
      </c>
      <c r="BN44">
        <f t="shared" si="32"/>
        <v>-16.057249797800434</v>
      </c>
      <c r="BQ44" s="56">
        <f t="shared" si="49"/>
        <v>3.4677583344374718</v>
      </c>
      <c r="BR44" s="58"/>
      <c r="BS44" s="58"/>
      <c r="BT44" s="58">
        <v>218.77600000000001</v>
      </c>
      <c r="BU44" s="58">
        <v>27.706399999999999</v>
      </c>
      <c r="BV44" s="58">
        <v>-263.5369</v>
      </c>
      <c r="BW44" s="61"/>
      <c r="BY44" s="58"/>
      <c r="BZ44" s="58"/>
      <c r="CA44" s="58"/>
      <c r="CC44" s="58"/>
    </row>
    <row r="45" spans="1:81" x14ac:dyDescent="0.2">
      <c r="A45">
        <f t="shared" si="54"/>
        <v>5500</v>
      </c>
      <c r="B45">
        <f t="shared" si="33"/>
        <v>5.5</v>
      </c>
      <c r="C45">
        <f t="shared" si="0"/>
        <v>1.000005971092822</v>
      </c>
      <c r="D45">
        <f t="shared" si="1"/>
        <v>3.4557381586471955E-3</v>
      </c>
      <c r="F45">
        <f t="shared" si="2"/>
        <v>1.1790003648874456</v>
      </c>
      <c r="G45">
        <f t="shared" si="3"/>
        <v>-0.32349827049710705</v>
      </c>
      <c r="H45">
        <f t="shared" si="4"/>
        <v>-0.32349827049710705</v>
      </c>
      <c r="J45">
        <f t="shared" si="5"/>
        <v>15</v>
      </c>
      <c r="M45">
        <f t="shared" si="6"/>
        <v>0.14504893440305891</v>
      </c>
      <c r="N45">
        <f t="shared" si="7"/>
        <v>-1.5707963250000001</v>
      </c>
      <c r="O45">
        <f t="shared" si="8"/>
        <v>1.1776790607190262</v>
      </c>
      <c r="P45">
        <f t="shared" si="9"/>
        <v>0.5564645872502797</v>
      </c>
      <c r="Q45">
        <f t="shared" si="10"/>
        <v>1.1951475084439689</v>
      </c>
      <c r="R45">
        <f t="shared" si="11"/>
        <v>0.57953607661928608</v>
      </c>
      <c r="S45">
        <f t="shared" si="12"/>
        <v>0.99999906363562763</v>
      </c>
      <c r="T45">
        <f t="shared" si="13"/>
        <v>-1.3684769040772152E-3</v>
      </c>
      <c r="U45">
        <f t="shared" si="14"/>
        <v>0.99946451910111556</v>
      </c>
      <c r="V45">
        <f t="shared" si="15"/>
        <v>-3.2727013174908018E-2</v>
      </c>
      <c r="X45">
        <f t="shared" si="34"/>
        <v>11.146755455689799</v>
      </c>
      <c r="Y45">
        <f t="shared" si="16"/>
        <v>-45.202570434654625</v>
      </c>
      <c r="Z45">
        <f t="shared" si="35"/>
        <v>134.79742956534537</v>
      </c>
      <c r="AC45">
        <v>1</v>
      </c>
      <c r="AD45">
        <f t="shared" si="17"/>
        <v>0.6220353447000001</v>
      </c>
      <c r="AE45">
        <f t="shared" si="18"/>
        <v>-2.1495998336447104E-5</v>
      </c>
      <c r="AF45">
        <f t="shared" si="19"/>
        <v>6.5659286385E-4</v>
      </c>
      <c r="AG45">
        <f t="shared" si="36"/>
        <v>896.54598692857576</v>
      </c>
      <c r="AH45">
        <f t="shared" si="37"/>
        <v>-1552.3655634436195</v>
      </c>
      <c r="AJ45">
        <f t="shared" si="20"/>
        <v>10500</v>
      </c>
      <c r="AK45">
        <f t="shared" si="21"/>
        <v>14.369016462570002</v>
      </c>
      <c r="AL45">
        <v>1</v>
      </c>
      <c r="AM45">
        <f t="shared" si="22"/>
        <v>0.65450558969334005</v>
      </c>
      <c r="AN45">
        <f t="shared" si="38"/>
        <v>7357.5816680659736</v>
      </c>
      <c r="AO45">
        <f t="shared" si="39"/>
        <v>-4801.2093119118581</v>
      </c>
      <c r="AQ45">
        <f t="shared" si="23"/>
        <v>81.967213114754102</v>
      </c>
      <c r="AR45">
        <f t="shared" si="24"/>
        <v>-901.63934426229503</v>
      </c>
      <c r="AT45">
        <f t="shared" si="52"/>
        <v>-1326186.4927009211</v>
      </c>
      <c r="AU45">
        <f t="shared" si="53"/>
        <v>-935604.21472606168</v>
      </c>
      <c r="AV45">
        <f t="shared" si="42"/>
        <v>-2.5271951923136764</v>
      </c>
      <c r="AW45">
        <f t="shared" si="25"/>
        <v>-3718053.0342480126</v>
      </c>
      <c r="AX45">
        <f t="shared" si="26"/>
        <v>-7041643.5129810283</v>
      </c>
      <c r="AY45">
        <f t="shared" si="50"/>
        <v>-2.0565994594335351</v>
      </c>
      <c r="BA45">
        <f t="shared" si="27"/>
        <v>0.20381867188743941</v>
      </c>
      <c r="BB45">
        <f t="shared" si="43"/>
        <v>-13.815120653281552</v>
      </c>
      <c r="BC45">
        <f t="shared" si="44"/>
        <v>-0.47059573288014134</v>
      </c>
      <c r="BD45">
        <f t="shared" si="28"/>
        <v>-206.96314938170786</v>
      </c>
      <c r="BF45">
        <f t="shared" si="29"/>
        <v>11.137035182018536</v>
      </c>
      <c r="BG45">
        <f t="shared" si="30"/>
        <v>-45.300235770333941</v>
      </c>
      <c r="BH45">
        <f t="shared" si="45"/>
        <v>134.69976422966607</v>
      </c>
      <c r="BI45">
        <f t="shared" si="46"/>
        <v>134.69976422966607</v>
      </c>
      <c r="BJ45">
        <f t="shared" si="31"/>
        <v>0</v>
      </c>
      <c r="BK45">
        <f t="shared" si="47"/>
        <v>0</v>
      </c>
      <c r="BM45">
        <f t="shared" si="48"/>
        <v>24.952155835300086</v>
      </c>
      <c r="BN45">
        <f t="shared" si="32"/>
        <v>-18.337086388626091</v>
      </c>
      <c r="BQ45" s="56">
        <f t="shared" si="49"/>
        <v>3.086840147003584</v>
      </c>
      <c r="BR45" s="58"/>
      <c r="BS45" s="58"/>
      <c r="BT45" s="58">
        <v>223.87200000000001</v>
      </c>
      <c r="BU45" s="58">
        <v>27.937100000000001</v>
      </c>
      <c r="BV45" s="58">
        <v>-265.19450000000001</v>
      </c>
      <c r="BW45" s="61"/>
      <c r="BY45" s="58"/>
      <c r="BZ45" s="58"/>
      <c r="CA45" s="58"/>
      <c r="CC45" s="58"/>
    </row>
    <row r="46" spans="1:81" x14ac:dyDescent="0.2">
      <c r="A46">
        <f t="shared" si="54"/>
        <v>6000</v>
      </c>
      <c r="B46">
        <f t="shared" si="33"/>
        <v>6</v>
      </c>
      <c r="C46">
        <f t="shared" si="0"/>
        <v>1.0000071060899043</v>
      </c>
      <c r="D46">
        <f t="shared" si="1"/>
        <v>3.7698933205369874E-3</v>
      </c>
      <c r="F46">
        <f t="shared" si="2"/>
        <v>1.2226772807611448</v>
      </c>
      <c r="G46">
        <f t="shared" si="3"/>
        <v>-0.36787223091942628</v>
      </c>
      <c r="H46">
        <f t="shared" si="4"/>
        <v>-0.36787223091942628</v>
      </c>
      <c r="J46">
        <f t="shared" si="5"/>
        <v>15</v>
      </c>
      <c r="M46">
        <f t="shared" si="6"/>
        <v>0.13296152320280399</v>
      </c>
      <c r="N46">
        <f t="shared" si="7"/>
        <v>-1.5707963250000001</v>
      </c>
      <c r="O46">
        <f t="shared" si="8"/>
        <v>1.2085016598602103</v>
      </c>
      <c r="P46">
        <f t="shared" si="9"/>
        <v>0.59620775759784439</v>
      </c>
      <c r="Q46">
        <f t="shared" si="10"/>
        <v>1.2287411068907477</v>
      </c>
      <c r="R46">
        <f t="shared" si="11"/>
        <v>0.62006431006978502</v>
      </c>
      <c r="S46">
        <f t="shared" si="12"/>
        <v>0.99999888564930883</v>
      </c>
      <c r="T46">
        <f t="shared" si="13"/>
        <v>-1.4928837182148036E-3</v>
      </c>
      <c r="U46">
        <f t="shared" si="14"/>
        <v>0.99936283073870225</v>
      </c>
      <c r="V46">
        <f t="shared" si="15"/>
        <v>-3.5699774142372367E-2</v>
      </c>
      <c r="X46">
        <f t="shared" si="34"/>
        <v>11.171250338702592</v>
      </c>
      <c r="Y46">
        <f t="shared" si="16"/>
        <v>-43.305253309187762</v>
      </c>
      <c r="Z46">
        <f t="shared" si="35"/>
        <v>136.69474669081222</v>
      </c>
      <c r="AC46">
        <v>1</v>
      </c>
      <c r="AD46">
        <f t="shared" si="17"/>
        <v>0.67858401239999999</v>
      </c>
      <c r="AE46">
        <f t="shared" si="18"/>
        <v>-2.5582014549160196E-5</v>
      </c>
      <c r="AF46">
        <f t="shared" si="19"/>
        <v>7.1628312419999996E-4</v>
      </c>
      <c r="AG46">
        <f t="shared" si="36"/>
        <v>896.36356193271865</v>
      </c>
      <c r="AH46">
        <f t="shared" si="37"/>
        <v>-1428.1095716518348</v>
      </c>
      <c r="AJ46">
        <f t="shared" si="20"/>
        <v>10500</v>
      </c>
      <c r="AK46">
        <f t="shared" si="21"/>
        <v>15.675290686440002</v>
      </c>
      <c r="AL46">
        <v>1</v>
      </c>
      <c r="AM46">
        <f t="shared" si="22"/>
        <v>0.71400609784728009</v>
      </c>
      <c r="AN46">
        <f t="shared" si="38"/>
        <v>6961.9548800512393</v>
      </c>
      <c r="AO46">
        <f t="shared" si="39"/>
        <v>-4955.2029466077747</v>
      </c>
      <c r="AQ46">
        <f t="shared" si="23"/>
        <v>68.965517241379317</v>
      </c>
      <c r="AR46">
        <f t="shared" si="24"/>
        <v>-827.58620689655174</v>
      </c>
      <c r="AT46">
        <f t="shared" si="52"/>
        <v>-1120065.6067509861</v>
      </c>
      <c r="AU46">
        <f t="shared" si="53"/>
        <v>-840308.43550651439</v>
      </c>
      <c r="AV46">
        <f t="shared" si="42"/>
        <v>-2.4979434382458798</v>
      </c>
      <c r="AW46">
        <f t="shared" si="25"/>
        <v>-3613282.5382714975</v>
      </c>
      <c r="AX46">
        <f t="shared" si="26"/>
        <v>-6116931.3274160801</v>
      </c>
      <c r="AY46">
        <f t="shared" si="50"/>
        <v>-2.1043508849587269</v>
      </c>
      <c r="BA46">
        <f t="shared" si="27"/>
        <v>0.19709410221938412</v>
      </c>
      <c r="BB46">
        <f t="shared" si="43"/>
        <v>-14.106527424294386</v>
      </c>
      <c r="BC46">
        <f t="shared" si="44"/>
        <v>-0.39359255328715292</v>
      </c>
      <c r="BD46">
        <f t="shared" si="28"/>
        <v>-202.55119217690032</v>
      </c>
      <c r="BF46">
        <f t="shared" si="29"/>
        <v>11.16159632764872</v>
      </c>
      <c r="BG46">
        <f t="shared" si="30"/>
        <v>-43.412719456001902</v>
      </c>
      <c r="BH46">
        <f t="shared" si="45"/>
        <v>136.58728054399811</v>
      </c>
      <c r="BI46">
        <f t="shared" si="46"/>
        <v>136.58728054399811</v>
      </c>
      <c r="BJ46">
        <f t="shared" si="31"/>
        <v>0</v>
      </c>
      <c r="BK46">
        <f t="shared" si="47"/>
        <v>0</v>
      </c>
      <c r="BM46">
        <f t="shared" si="48"/>
        <v>25.268123751943104</v>
      </c>
      <c r="BN46">
        <f t="shared" si="32"/>
        <v>-20.86152727910159</v>
      </c>
      <c r="BQ46" s="56">
        <f t="shared" si="49"/>
        <v>2.7954333759907501</v>
      </c>
      <c r="BR46" s="58"/>
      <c r="BS46" s="58"/>
      <c r="BT46" s="58">
        <v>229.08699999999999</v>
      </c>
      <c r="BU46" s="58">
        <v>27.676300000000001</v>
      </c>
      <c r="BV46" s="58">
        <v>-266.75440000000003</v>
      </c>
      <c r="BW46" s="61"/>
      <c r="BY46" s="58"/>
      <c r="BZ46" s="58"/>
      <c r="CA46" s="58"/>
      <c r="CC46" s="58"/>
    </row>
    <row r="47" spans="1:81" x14ac:dyDescent="0.2">
      <c r="A47">
        <f t="shared" si="54"/>
        <v>6500</v>
      </c>
      <c r="B47">
        <f t="shared" si="33"/>
        <v>6.5</v>
      </c>
      <c r="C47">
        <f t="shared" si="0"/>
        <v>1.0000083397809238</v>
      </c>
      <c r="D47">
        <f t="shared" si="1"/>
        <v>4.0840477382973655E-3</v>
      </c>
      <c r="F47">
        <f t="shared" si="2"/>
        <v>1.2721865050867198</v>
      </c>
      <c r="G47">
        <f t="shared" si="3"/>
        <v>-0.41739004261479812</v>
      </c>
      <c r="H47">
        <f t="shared" si="4"/>
        <v>-0.41739004261479812</v>
      </c>
      <c r="J47">
        <f t="shared" si="5"/>
        <v>15</v>
      </c>
      <c r="M47">
        <f t="shared" si="6"/>
        <v>0.12273371372566524</v>
      </c>
      <c r="N47">
        <f t="shared" si="7"/>
        <v>-1.5707963250000001</v>
      </c>
      <c r="O47">
        <f t="shared" si="8"/>
        <v>1.2411365989894139</v>
      </c>
      <c r="P47">
        <f t="shared" si="9"/>
        <v>0.63391792674730674</v>
      </c>
      <c r="Q47">
        <f t="shared" si="10"/>
        <v>1.2642438330984758</v>
      </c>
      <c r="R47">
        <f t="shared" si="11"/>
        <v>0.65837638668374465</v>
      </c>
      <c r="S47">
        <f t="shared" si="12"/>
        <v>0.99999869218602666</v>
      </c>
      <c r="T47">
        <f t="shared" si="13"/>
        <v>-1.6172904861414866E-3</v>
      </c>
      <c r="U47">
        <f t="shared" si="14"/>
        <v>0.99925233510630707</v>
      </c>
      <c r="V47">
        <f t="shared" si="15"/>
        <v>-3.8671903997733036E-2</v>
      </c>
      <c r="X47">
        <f t="shared" si="34"/>
        <v>11.298691418896134</v>
      </c>
      <c r="Y47">
        <f t="shared" si="16"/>
        <v>-41.946079854521656</v>
      </c>
      <c r="Z47">
        <f t="shared" si="35"/>
        <v>138.05392014547834</v>
      </c>
      <c r="AC47">
        <v>1</v>
      </c>
      <c r="AD47">
        <f t="shared" si="17"/>
        <v>0.7351326801000001</v>
      </c>
      <c r="AE47">
        <f t="shared" si="18"/>
        <v>-3.0023336519500509E-5</v>
      </c>
      <c r="AF47">
        <f t="shared" si="19"/>
        <v>7.7597338455000003E-4</v>
      </c>
      <c r="AG47">
        <f t="shared" si="36"/>
        <v>896.16535807698642</v>
      </c>
      <c r="AH47">
        <f t="shared" si="37"/>
        <v>-1323.3777015666381</v>
      </c>
      <c r="AJ47">
        <f t="shared" si="20"/>
        <v>10500</v>
      </c>
      <c r="AK47">
        <f t="shared" si="21"/>
        <v>16.981564910310002</v>
      </c>
      <c r="AL47">
        <v>1</v>
      </c>
      <c r="AM47">
        <f t="shared" si="22"/>
        <v>0.77350660600122012</v>
      </c>
      <c r="AN47">
        <f t="shared" si="38"/>
        <v>6577.6470828298834</v>
      </c>
      <c r="AO47">
        <f t="shared" si="39"/>
        <v>-5070.8719056032596</v>
      </c>
      <c r="AQ47">
        <f t="shared" si="23"/>
        <v>58.823529411764703</v>
      </c>
      <c r="AR47">
        <f t="shared" si="24"/>
        <v>-764.70588235294122</v>
      </c>
      <c r="AT47">
        <f t="shared" si="52"/>
        <v>-959279.103664077</v>
      </c>
      <c r="AU47">
        <f t="shared" si="53"/>
        <v>-763148.66803338006</v>
      </c>
      <c r="AV47">
        <f t="shared" si="42"/>
        <v>-2.4695747395704415</v>
      </c>
      <c r="AW47">
        <f t="shared" si="25"/>
        <v>-3483739.3554721661</v>
      </c>
      <c r="AX47">
        <f t="shared" si="26"/>
        <v>-5341270.7741790097</v>
      </c>
      <c r="AY47">
        <f t="shared" si="50"/>
        <v>-2.1487379173967054</v>
      </c>
      <c r="BA47">
        <f t="shared" si="27"/>
        <v>0.19222497114704484</v>
      </c>
      <c r="BB47">
        <f t="shared" si="43"/>
        <v>-14.323803912232467</v>
      </c>
      <c r="BC47">
        <f t="shared" si="44"/>
        <v>-0.3208368221737361</v>
      </c>
      <c r="BD47">
        <f t="shared" si="28"/>
        <v>-198.38259584394956</v>
      </c>
      <c r="BF47">
        <f t="shared" si="29"/>
        <v>11.289109395389547</v>
      </c>
      <c r="BG47">
        <f t="shared" si="30"/>
        <v>-42.063285024887811</v>
      </c>
      <c r="BH47">
        <f t="shared" si="45"/>
        <v>137.93671497511218</v>
      </c>
      <c r="BI47">
        <f t="shared" si="46"/>
        <v>137.93671497511218</v>
      </c>
      <c r="BJ47">
        <f t="shared" si="31"/>
        <v>0</v>
      </c>
      <c r="BK47">
        <f t="shared" si="47"/>
        <v>0</v>
      </c>
      <c r="BM47">
        <f t="shared" si="48"/>
        <v>25.612913307622016</v>
      </c>
      <c r="BN47">
        <f t="shared" si="32"/>
        <v>-23.680689180938252</v>
      </c>
      <c r="BQ47" s="56">
        <f t="shared" si="49"/>
        <v>2.5781568880526686</v>
      </c>
      <c r="BR47" s="58"/>
      <c r="BS47" s="58"/>
      <c r="BT47" s="58">
        <v>234.423</v>
      </c>
      <c r="BU47" s="58">
        <v>27.670300000000001</v>
      </c>
      <c r="BV47" s="58">
        <v>-266.76120000000003</v>
      </c>
      <c r="BW47" s="61"/>
      <c r="BY47" s="58"/>
      <c r="BZ47" s="58"/>
      <c r="CA47" s="58"/>
      <c r="CC47" s="58"/>
    </row>
    <row r="48" spans="1:81" x14ac:dyDescent="0.2">
      <c r="A48">
        <f t="shared" si="54"/>
        <v>7000</v>
      </c>
      <c r="B48">
        <f t="shared" si="33"/>
        <v>7</v>
      </c>
      <c r="C48">
        <f t="shared" si="0"/>
        <v>1.0000096721655156</v>
      </c>
      <c r="D48">
        <f t="shared" si="1"/>
        <v>4.3982013499215258E-3</v>
      </c>
      <c r="F48">
        <f t="shared" si="2"/>
        <v>1.3277941372248923</v>
      </c>
      <c r="G48">
        <f t="shared" si="3"/>
        <v>-0.47309196415914501</v>
      </c>
      <c r="H48">
        <f t="shared" si="4"/>
        <v>-0.47309196415914501</v>
      </c>
      <c r="J48">
        <f t="shared" si="5"/>
        <v>15</v>
      </c>
      <c r="M48">
        <f t="shared" si="6"/>
        <v>0.11396701988811772</v>
      </c>
      <c r="N48">
        <f t="shared" si="7"/>
        <v>-1.5707963250000001</v>
      </c>
      <c r="O48">
        <f t="shared" si="8"/>
        <v>1.2754447680924581</v>
      </c>
      <c r="P48">
        <f t="shared" si="9"/>
        <v>0.66964797051375835</v>
      </c>
      <c r="Q48">
        <f t="shared" si="10"/>
        <v>1.3014994630168342</v>
      </c>
      <c r="R48">
        <f t="shared" si="11"/>
        <v>0.6945457225129289</v>
      </c>
      <c r="S48">
        <f t="shared" si="12"/>
        <v>0.99999848324580809</v>
      </c>
      <c r="T48">
        <f t="shared" si="13"/>
        <v>-1.7416972040063946E-3</v>
      </c>
      <c r="U48">
        <f t="shared" si="14"/>
        <v>0.99913304098024858</v>
      </c>
      <c r="V48">
        <f t="shared" si="15"/>
        <v>-4.1643350450638793E-2</v>
      </c>
      <c r="X48">
        <f t="shared" si="34"/>
        <v>11.514674215827768</v>
      </c>
      <c r="Y48">
        <f t="shared" si="16"/>
        <v>-41.177413513076779</v>
      </c>
      <c r="Z48">
        <f t="shared" si="35"/>
        <v>138.82258648692323</v>
      </c>
      <c r="AC48">
        <v>1</v>
      </c>
      <c r="AD48">
        <f t="shared" si="17"/>
        <v>0.7916813478000001</v>
      </c>
      <c r="AE48">
        <f t="shared" si="18"/>
        <v>-3.4819964247468038E-5</v>
      </c>
      <c r="AF48">
        <f t="shared" si="19"/>
        <v>8.3566364489999988E-4</v>
      </c>
      <c r="AG48">
        <f t="shared" si="36"/>
        <v>895.95139634186808</v>
      </c>
      <c r="AH48">
        <f t="shared" si="37"/>
        <v>-1233.9857092999321</v>
      </c>
      <c r="AJ48">
        <f t="shared" si="20"/>
        <v>10500</v>
      </c>
      <c r="AK48">
        <f t="shared" si="21"/>
        <v>18.28783913418</v>
      </c>
      <c r="AL48">
        <v>1</v>
      </c>
      <c r="AM48">
        <f t="shared" si="22"/>
        <v>0.83300711415516004</v>
      </c>
      <c r="AN48">
        <f t="shared" si="38"/>
        <v>6207.7032939908058</v>
      </c>
      <c r="AO48">
        <f t="shared" si="39"/>
        <v>-5152.7731673245817</v>
      </c>
      <c r="AQ48">
        <f t="shared" si="23"/>
        <v>50.761421319796952</v>
      </c>
      <c r="AR48">
        <f t="shared" si="24"/>
        <v>-710.65989847715741</v>
      </c>
      <c r="AT48">
        <f t="shared" si="52"/>
        <v>-831464.39258158288</v>
      </c>
      <c r="AU48">
        <f t="shared" si="53"/>
        <v>-699355.59685716173</v>
      </c>
      <c r="AV48">
        <f t="shared" si="42"/>
        <v>-2.4422805687413831</v>
      </c>
      <c r="AW48">
        <f t="shared" si="25"/>
        <v>-3340052.0829505245</v>
      </c>
      <c r="AX48">
        <f t="shared" si="26"/>
        <v>-4685653.0670056827</v>
      </c>
      <c r="AY48">
        <f t="shared" si="50"/>
        <v>-2.1900781177856374</v>
      </c>
      <c r="BA48">
        <f t="shared" si="27"/>
        <v>0.18881317208146553</v>
      </c>
      <c r="BB48">
        <f t="shared" si="43"/>
        <v>-14.479354230128633</v>
      </c>
      <c r="BC48">
        <f t="shared" si="44"/>
        <v>-0.25220245095574567</v>
      </c>
      <c r="BD48">
        <f t="shared" si="28"/>
        <v>-194.45013603913105</v>
      </c>
      <c r="BF48">
        <f t="shared" si="29"/>
        <v>11.505169896351479</v>
      </c>
      <c r="BG48">
        <f t="shared" si="30"/>
        <v>-41.304310562890585</v>
      </c>
      <c r="BH48">
        <f t="shared" si="45"/>
        <v>138.69568943710942</v>
      </c>
      <c r="BI48">
        <f t="shared" si="46"/>
        <v>138.69568943710942</v>
      </c>
      <c r="BJ48">
        <f t="shared" si="31"/>
        <v>0</v>
      </c>
      <c r="BK48">
        <f t="shared" si="47"/>
        <v>0</v>
      </c>
      <c r="BM48">
        <f t="shared" si="48"/>
        <v>25.984524126480117</v>
      </c>
      <c r="BN48">
        <f t="shared" si="32"/>
        <v>-26.854174523759539</v>
      </c>
      <c r="BQ48" s="56">
        <f t="shared" si="49"/>
        <v>2.4226065701565012</v>
      </c>
      <c r="BR48" s="58"/>
      <c r="BS48" s="58"/>
      <c r="BT48" s="58">
        <v>239.88300000000001</v>
      </c>
      <c r="BU48" s="58">
        <v>27.2761</v>
      </c>
      <c r="BV48" s="58">
        <v>-267.59569999999997</v>
      </c>
      <c r="BW48" s="61"/>
      <c r="BY48" s="58"/>
      <c r="BZ48" s="58"/>
      <c r="CA48" s="58"/>
      <c r="CC48" s="58"/>
    </row>
    <row r="49" spans="1:81" x14ac:dyDescent="0.2">
      <c r="A49">
        <f t="shared" si="54"/>
        <v>7500</v>
      </c>
      <c r="B49">
        <f t="shared" si="33"/>
        <v>7.5</v>
      </c>
      <c r="C49">
        <f t="shared" si="0"/>
        <v>1.0000111032432848</v>
      </c>
      <c r="D49">
        <f t="shared" si="1"/>
        <v>4.7123540934036149E-3</v>
      </c>
      <c r="F49">
        <f t="shared" si="2"/>
        <v>1.3894956483307837</v>
      </c>
      <c r="G49">
        <f t="shared" si="3"/>
        <v>-0.53619909721576298</v>
      </c>
      <c r="H49">
        <f t="shared" si="4"/>
        <v>-0.53619909721576298</v>
      </c>
      <c r="J49">
        <f t="shared" si="5"/>
        <v>15</v>
      </c>
      <c r="M49">
        <f t="shared" si="6"/>
        <v>0.10636921856224321</v>
      </c>
      <c r="N49">
        <f t="shared" si="7"/>
        <v>-1.5707963250000001</v>
      </c>
      <c r="O49">
        <f t="shared" si="8"/>
        <v>1.3112948406804361</v>
      </c>
      <c r="P49">
        <f t="shared" si="9"/>
        <v>0.70346559911119988</v>
      </c>
      <c r="Q49">
        <f t="shared" si="10"/>
        <v>1.3403618376691584</v>
      </c>
      <c r="R49">
        <f t="shared" si="11"/>
        <v>0.72866021140854786</v>
      </c>
      <c r="S49">
        <f t="shared" si="12"/>
        <v>0.99999825882868232</v>
      </c>
      <c r="T49">
        <f t="shared" si="13"/>
        <v>-1.866103867958667E-3</v>
      </c>
      <c r="U49">
        <f t="shared" si="14"/>
        <v>0.99900495782987009</v>
      </c>
      <c r="V49">
        <f t="shared" si="15"/>
        <v>-4.4614061283053702E-2</v>
      </c>
      <c r="X49">
        <f t="shared" si="34"/>
        <v>11.805170697675981</v>
      </c>
      <c r="Y49">
        <f t="shared" si="16"/>
        <v>-41.060299811833431</v>
      </c>
      <c r="Z49">
        <f t="shared" si="35"/>
        <v>138.93970018816657</v>
      </c>
      <c r="AC49">
        <v>1</v>
      </c>
      <c r="AD49">
        <f t="shared" si="17"/>
        <v>0.8482300155000001</v>
      </c>
      <c r="AE49">
        <f t="shared" si="18"/>
        <v>-3.9971897733062795E-5</v>
      </c>
      <c r="AF49">
        <f t="shared" si="19"/>
        <v>8.9535390525000006E-4</v>
      </c>
      <c r="AG49">
        <f t="shared" si="36"/>
        <v>895.72169936023818</v>
      </c>
      <c r="AH49">
        <f t="shared" si="37"/>
        <v>-1156.8651123210284</v>
      </c>
      <c r="AJ49">
        <f t="shared" si="20"/>
        <v>10500</v>
      </c>
      <c r="AK49">
        <f t="shared" si="21"/>
        <v>19.594113358050002</v>
      </c>
      <c r="AL49">
        <v>1</v>
      </c>
      <c r="AM49">
        <f t="shared" si="22"/>
        <v>0.89250762230910008</v>
      </c>
      <c r="AN49">
        <f t="shared" si="38"/>
        <v>5854.2048120771042</v>
      </c>
      <c r="AO49">
        <f t="shared" si="39"/>
        <v>-5205.3283039793787</v>
      </c>
      <c r="AQ49">
        <f t="shared" si="23"/>
        <v>44.247787610619469</v>
      </c>
      <c r="AR49">
        <f t="shared" si="24"/>
        <v>-663.71681415929208</v>
      </c>
      <c r="AT49">
        <f t="shared" si="52"/>
        <v>-728197.12325022963</v>
      </c>
      <c r="AU49">
        <f t="shared" si="53"/>
        <v>-645694.27445684082</v>
      </c>
      <c r="AV49">
        <f t="shared" si="42"/>
        <v>-2.416172951985823</v>
      </c>
      <c r="AW49">
        <f t="shared" si="25"/>
        <v>-3189467.4431202803</v>
      </c>
      <c r="AX49">
        <f t="shared" si="26"/>
        <v>-4127938.1473729596</v>
      </c>
      <c r="AY49">
        <f t="shared" si="50"/>
        <v>-2.228638979415507</v>
      </c>
      <c r="BA49">
        <f t="shared" si="27"/>
        <v>0.1865667376352336</v>
      </c>
      <c r="BB49">
        <f t="shared" si="43"/>
        <v>-14.58331565221172</v>
      </c>
      <c r="BC49">
        <f t="shared" si="44"/>
        <v>-0.18753397257031601</v>
      </c>
      <c r="BD49">
        <f t="shared" si="28"/>
        <v>-190.74490515587911</v>
      </c>
      <c r="BF49">
        <f t="shared" si="29"/>
        <v>11.795749789461334</v>
      </c>
      <c r="BG49">
        <f t="shared" si="30"/>
        <v>-41.196852438740443</v>
      </c>
      <c r="BH49">
        <f t="shared" si="45"/>
        <v>138.80314756125955</v>
      </c>
      <c r="BI49">
        <f t="shared" si="46"/>
        <v>138.80314756125955</v>
      </c>
      <c r="BJ49">
        <f t="shared" si="31"/>
        <v>0</v>
      </c>
      <c r="BK49">
        <f t="shared" si="47"/>
        <v>0</v>
      </c>
      <c r="BM49">
        <f t="shared" si="48"/>
        <v>26.379065441673056</v>
      </c>
      <c r="BN49">
        <f t="shared" si="32"/>
        <v>-30.451947282861344</v>
      </c>
      <c r="BQ49" s="56">
        <f t="shared" si="49"/>
        <v>2.3186451480734185</v>
      </c>
      <c r="BR49" s="58"/>
      <c r="BS49" s="58"/>
      <c r="BT49" s="58">
        <v>245.471</v>
      </c>
      <c r="BU49" s="58">
        <v>27.075500000000002</v>
      </c>
      <c r="BV49" s="58">
        <v>-266.80959999999999</v>
      </c>
      <c r="BW49" s="61"/>
      <c r="BY49" s="58"/>
      <c r="BZ49" s="58"/>
      <c r="CA49" s="58"/>
      <c r="CC49" s="58"/>
    </row>
    <row r="50" spans="1:81" x14ac:dyDescent="0.2">
      <c r="A50">
        <f t="shared" si="54"/>
        <v>8000</v>
      </c>
      <c r="B50">
        <f t="shared" si="33"/>
        <v>8</v>
      </c>
      <c r="C50">
        <f t="shared" si="0"/>
        <v>1.0000126330138079</v>
      </c>
      <c r="D50">
        <f t="shared" si="1"/>
        <v>5.0265059067388096E-3</v>
      </c>
      <c r="F50">
        <f t="shared" si="2"/>
        <v>1.4567726608364735</v>
      </c>
      <c r="G50">
        <f t="shared" si="3"/>
        <v>-0.60810715288772044</v>
      </c>
      <c r="H50">
        <f t="shared" si="4"/>
        <v>-0.60810715288772044</v>
      </c>
      <c r="J50">
        <f t="shared" si="5"/>
        <v>15</v>
      </c>
      <c r="M50">
        <f t="shared" si="6"/>
        <v>9.9721142402103016E-2</v>
      </c>
      <c r="N50">
        <f t="shared" si="7"/>
        <v>-1.5707963250000001</v>
      </c>
      <c r="O50">
        <f t="shared" si="8"/>
        <v>1.348563852983286</v>
      </c>
      <c r="P50">
        <f t="shared" si="9"/>
        <v>0.73544899364737037</v>
      </c>
      <c r="Q50">
        <f t="shared" si="10"/>
        <v>1.3806952887830581</v>
      </c>
      <c r="R50">
        <f t="shared" si="11"/>
        <v>0.76081721905039035</v>
      </c>
      <c r="S50">
        <f t="shared" si="12"/>
        <v>0.99999801893468021</v>
      </c>
      <c r="T50">
        <f t="shared" si="13"/>
        <v>-1.9905104741474531E-3</v>
      </c>
      <c r="U50">
        <f t="shared" si="14"/>
        <v>0.99886809581545544</v>
      </c>
      <c r="V50">
        <f t="shared" si="15"/>
        <v>-4.7583984354726848E-2</v>
      </c>
      <c r="X50">
        <f t="shared" si="34"/>
        <v>12.155048242636896</v>
      </c>
      <c r="Y50">
        <f t="shared" si="16"/>
        <v>-41.664646032380148</v>
      </c>
      <c r="Z50">
        <f t="shared" si="35"/>
        <v>138.33535396761985</v>
      </c>
      <c r="AC50">
        <v>1</v>
      </c>
      <c r="AD50">
        <f t="shared" si="17"/>
        <v>0.90477868320000021</v>
      </c>
      <c r="AE50">
        <f t="shared" si="18"/>
        <v>-4.5479136976284783E-5</v>
      </c>
      <c r="AF50">
        <f t="shared" si="19"/>
        <v>9.5504416559999991E-4</v>
      </c>
      <c r="AG50">
        <f t="shared" si="36"/>
        <v>895.4762914113852</v>
      </c>
      <c r="AH50">
        <f t="shared" si="37"/>
        <v>-1089.7145141578719</v>
      </c>
      <c r="AJ50">
        <f t="shared" si="20"/>
        <v>10500</v>
      </c>
      <c r="AK50">
        <f t="shared" si="21"/>
        <v>20.90038758192</v>
      </c>
      <c r="AL50">
        <v>1</v>
      </c>
      <c r="AM50">
        <f t="shared" si="22"/>
        <v>0.95200813046304011</v>
      </c>
      <c r="AN50">
        <f t="shared" si="38"/>
        <v>5518.4335294767407</v>
      </c>
      <c r="AO50">
        <f t="shared" si="39"/>
        <v>-5232.6931998997879</v>
      </c>
      <c r="AQ50">
        <f t="shared" si="23"/>
        <v>38.910505836575872</v>
      </c>
      <c r="AR50">
        <f t="shared" si="24"/>
        <v>-622.56809338521396</v>
      </c>
      <c r="AT50">
        <f t="shared" si="52"/>
        <v>-643578.05194998311</v>
      </c>
      <c r="AU50">
        <f t="shared" si="53"/>
        <v>-599896.31037898955</v>
      </c>
      <c r="AV50">
        <f t="shared" si="42"/>
        <v>-2.3913088343011921</v>
      </c>
      <c r="AW50">
        <f t="shared" si="25"/>
        <v>-3036949.1365213813</v>
      </c>
      <c r="AX50">
        <f t="shared" si="26"/>
        <v>-3650879.4228357538</v>
      </c>
      <c r="AY50">
        <f t="shared" si="50"/>
        <v>-2.2646529026145377</v>
      </c>
      <c r="BA50">
        <f t="shared" si="27"/>
        <v>0.18526666942622799</v>
      </c>
      <c r="BB50">
        <f t="shared" si="43"/>
        <v>-14.644054116189189</v>
      </c>
      <c r="BC50">
        <f t="shared" si="44"/>
        <v>-0.12665593168665445</v>
      </c>
      <c r="BD50">
        <f t="shared" si="28"/>
        <v>-187.25685034423472</v>
      </c>
      <c r="BF50">
        <f t="shared" si="29"/>
        <v>12.145716442901712</v>
      </c>
      <c r="BG50">
        <f t="shared" si="30"/>
        <v>-41.810826161747762</v>
      </c>
      <c r="BH50">
        <f t="shared" si="45"/>
        <v>138.18917383825223</v>
      </c>
      <c r="BI50">
        <f t="shared" si="46"/>
        <v>138.18917383825223</v>
      </c>
      <c r="BJ50">
        <f t="shared" si="31"/>
        <v>0</v>
      </c>
      <c r="BK50">
        <f t="shared" si="47"/>
        <v>0</v>
      </c>
      <c r="BM50">
        <f t="shared" si="48"/>
        <v>26.789770559090904</v>
      </c>
      <c r="BN50">
        <f t="shared" si="32"/>
        <v>-34.553975817513034</v>
      </c>
      <c r="BQ50" s="56">
        <f t="shared" si="49"/>
        <v>2.2579066840959467</v>
      </c>
      <c r="BR50" s="58"/>
      <c r="BS50" s="58"/>
      <c r="BT50" s="58">
        <v>251.18899999999999</v>
      </c>
      <c r="BU50" s="58">
        <v>27.043399999999998</v>
      </c>
      <c r="BV50" s="58">
        <v>-265.9205</v>
      </c>
      <c r="BW50" s="61"/>
      <c r="BY50" s="58"/>
      <c r="BZ50" s="58"/>
      <c r="CA50" s="58"/>
      <c r="CC50" s="58"/>
    </row>
    <row r="51" spans="1:81" x14ac:dyDescent="0.2">
      <c r="A51">
        <f t="shared" si="54"/>
        <v>8500</v>
      </c>
      <c r="B51">
        <f t="shared" si="33"/>
        <v>8.5</v>
      </c>
      <c r="C51">
        <f t="shared" si="0"/>
        <v>1.0000142614766321</v>
      </c>
      <c r="D51">
        <f t="shared" si="1"/>
        <v>5.3406567279233883E-3</v>
      </c>
      <c r="F51">
        <f t="shared" si="2"/>
        <v>1.5282220460790548</v>
      </c>
      <c r="G51">
        <f t="shared" si="3"/>
        <v>-0.69033352175618867</v>
      </c>
      <c r="H51">
        <f t="shared" si="4"/>
        <v>-0.69033352175618867</v>
      </c>
      <c r="J51">
        <f t="shared" si="5"/>
        <v>15</v>
      </c>
      <c r="M51">
        <f t="shared" si="6"/>
        <v>9.3855192849038108E-2</v>
      </c>
      <c r="N51">
        <f t="shared" si="7"/>
        <v>-1.5707963250000001</v>
      </c>
      <c r="O51">
        <f t="shared" si="8"/>
        <v>1.3871374393290707</v>
      </c>
      <c r="P51">
        <f t="shared" si="9"/>
        <v>0.76568312781701553</v>
      </c>
      <c r="Q51">
        <f t="shared" si="10"/>
        <v>1.4223746784855165</v>
      </c>
      <c r="R51">
        <f t="shared" si="11"/>
        <v>0.79111949753564736</v>
      </c>
      <c r="S51">
        <f t="shared" si="12"/>
        <v>0.99999776356383563</v>
      </c>
      <c r="T51">
        <f t="shared" si="13"/>
        <v>-2.1149170187219129E-3</v>
      </c>
      <c r="U51">
        <f t="shared" si="14"/>
        <v>0.99872246578599644</v>
      </c>
      <c r="V51">
        <f t="shared" si="15"/>
        <v>-5.0553067608641561E-2</v>
      </c>
      <c r="X51">
        <f t="shared" si="34"/>
        <v>12.546391469537085</v>
      </c>
      <c r="Y51">
        <f t="shared" si="16"/>
        <v>-43.066633376078791</v>
      </c>
      <c r="Z51">
        <f t="shared" si="35"/>
        <v>136.93336662392122</v>
      </c>
      <c r="AC51">
        <v>1</v>
      </c>
      <c r="AD51">
        <f t="shared" si="17"/>
        <v>0.9613273509000001</v>
      </c>
      <c r="AE51">
        <f t="shared" si="18"/>
        <v>-5.1341681977134001E-5</v>
      </c>
      <c r="AF51">
        <f t="shared" si="19"/>
        <v>1.0147344259500001E-3</v>
      </c>
      <c r="AG51">
        <f t="shared" si="36"/>
        <v>895.21519841460997</v>
      </c>
      <c r="AH51">
        <f t="shared" si="37"/>
        <v>-1030.773990976865</v>
      </c>
      <c r="AJ51">
        <f t="shared" si="20"/>
        <v>10500</v>
      </c>
      <c r="AK51">
        <f t="shared" si="21"/>
        <v>22.206661805790002</v>
      </c>
      <c r="AL51">
        <v>1</v>
      </c>
      <c r="AM51">
        <f t="shared" si="22"/>
        <v>1.01150863861698</v>
      </c>
      <c r="AN51">
        <f t="shared" si="38"/>
        <v>5201.0299065073577</v>
      </c>
      <c r="AO51">
        <f t="shared" si="39"/>
        <v>-5238.6800183316673</v>
      </c>
      <c r="AQ51">
        <f t="shared" si="23"/>
        <v>34.482758620689658</v>
      </c>
      <c r="AR51">
        <f t="shared" si="24"/>
        <v>-586.20689655172418</v>
      </c>
      <c r="AT51">
        <f t="shared" si="52"/>
        <v>-573377.33269627916</v>
      </c>
      <c r="AU51">
        <f t="shared" si="53"/>
        <v>-560325.25393190468</v>
      </c>
      <c r="AV51">
        <f t="shared" si="42"/>
        <v>-2.3677067706656962</v>
      </c>
      <c r="AW51">
        <f t="shared" si="25"/>
        <v>-2885880.1786688492</v>
      </c>
      <c r="AX51">
        <f t="shared" si="26"/>
        <v>-3240818.6091018328</v>
      </c>
      <c r="AY51">
        <f t="shared" si="50"/>
        <v>-2.2983261088236304</v>
      </c>
      <c r="BA51">
        <f t="shared" si="27"/>
        <v>0.18474547503470115</v>
      </c>
      <c r="BB51">
        <f t="shared" si="43"/>
        <v>-14.668523799288042</v>
      </c>
      <c r="BC51">
        <f t="shared" si="44"/>
        <v>-6.9380661842065816E-2</v>
      </c>
      <c r="BD51">
        <f t="shared" si="28"/>
        <v>-183.97521910791707</v>
      </c>
      <c r="BF51">
        <f t="shared" si="29"/>
        <v>12.537154464750703</v>
      </c>
      <c r="BG51">
        <f t="shared" si="30"/>
        <v>-43.222419315457586</v>
      </c>
      <c r="BH51">
        <f t="shared" si="45"/>
        <v>136.77758068454241</v>
      </c>
      <c r="BI51">
        <f t="shared" si="46"/>
        <v>136.77758068454241</v>
      </c>
      <c r="BJ51">
        <f t="shared" si="31"/>
        <v>0</v>
      </c>
      <c r="BK51">
        <f t="shared" si="47"/>
        <v>0</v>
      </c>
      <c r="BM51">
        <f t="shared" si="48"/>
        <v>27.205678264038745</v>
      </c>
      <c r="BN51">
        <f t="shared" si="32"/>
        <v>-39.247200207540509</v>
      </c>
      <c r="BQ51" s="56">
        <f t="shared" si="49"/>
        <v>2.2334370009970952</v>
      </c>
      <c r="BR51" s="58"/>
      <c r="BS51" s="58"/>
      <c r="BT51" s="58">
        <v>257.04000000000002</v>
      </c>
      <c r="BU51" s="58">
        <v>26.677600000000002</v>
      </c>
      <c r="BV51" s="58">
        <v>-267.60309999999998</v>
      </c>
      <c r="BW51" s="61"/>
      <c r="BY51" s="58"/>
      <c r="BZ51" s="58"/>
      <c r="CA51" s="58"/>
      <c r="CC51" s="58"/>
    </row>
    <row r="52" spans="1:81" x14ac:dyDescent="0.2">
      <c r="A52">
        <f t="shared" si="54"/>
        <v>9000</v>
      </c>
      <c r="B52">
        <f t="shared" si="33"/>
        <v>9</v>
      </c>
      <c r="C52">
        <f t="shared" si="0"/>
        <v>1.0000159886312752</v>
      </c>
      <c r="D52">
        <f t="shared" si="1"/>
        <v>5.6548064949548038E-3</v>
      </c>
      <c r="F52">
        <f t="shared" si="2"/>
        <v>1.6010497318671197</v>
      </c>
      <c r="G52">
        <f t="shared" si="3"/>
        <v>-0.78437722969553636</v>
      </c>
      <c r="H52">
        <f t="shared" si="4"/>
        <v>-0.78437722969553636</v>
      </c>
      <c r="J52">
        <f t="shared" si="5"/>
        <v>15</v>
      </c>
      <c r="M52">
        <f t="shared" si="6"/>
        <v>8.8641015468535991E-2</v>
      </c>
      <c r="N52">
        <f t="shared" si="7"/>
        <v>-1.5707963250000001</v>
      </c>
      <c r="O52">
        <f t="shared" si="8"/>
        <v>1.4269098041715838</v>
      </c>
      <c r="P52">
        <f t="shared" si="9"/>
        <v>0.7942567606687605</v>
      </c>
      <c r="Q52">
        <f t="shared" si="10"/>
        <v>1.465285157389842</v>
      </c>
      <c r="R52">
        <f t="shared" si="11"/>
        <v>0.81967195695188821</v>
      </c>
      <c r="S52">
        <f t="shared" si="12"/>
        <v>0.99999749271618388</v>
      </c>
      <c r="T52">
        <f t="shared" si="13"/>
        <v>-2.2393234978312178E-3</v>
      </c>
      <c r="U52">
        <f t="shared" si="14"/>
        <v>0.99856807927681157</v>
      </c>
      <c r="V52">
        <f t="shared" si="15"/>
        <v>-5.3521259076442701E-2</v>
      </c>
      <c r="X52">
        <f t="shared" si="34"/>
        <v>12.956660204569753</v>
      </c>
      <c r="Y52">
        <f t="shared" si="16"/>
        <v>-45.341050300635636</v>
      </c>
      <c r="Z52">
        <f t="shared" si="35"/>
        <v>134.65894969936437</v>
      </c>
      <c r="AC52">
        <v>1</v>
      </c>
      <c r="AD52">
        <f t="shared" si="17"/>
        <v>1.0178760186000002</v>
      </c>
      <c r="AE52">
        <f t="shared" si="18"/>
        <v>-5.7559532735610436E-5</v>
      </c>
      <c r="AF52">
        <f t="shared" si="19"/>
        <v>1.0744246862999999E-3</v>
      </c>
      <c r="AG52">
        <f t="shared" si="36"/>
        <v>894.93844792240509</v>
      </c>
      <c r="AH52">
        <f t="shared" si="37"/>
        <v>-978.67468264401339</v>
      </c>
      <c r="AJ52">
        <f t="shared" si="20"/>
        <v>10500</v>
      </c>
      <c r="AK52">
        <f t="shared" si="21"/>
        <v>23.512936029660004</v>
      </c>
      <c r="AL52">
        <v>1</v>
      </c>
      <c r="AM52">
        <f t="shared" si="22"/>
        <v>1.0710091467709202</v>
      </c>
      <c r="AN52">
        <f t="shared" si="38"/>
        <v>4902.1357881017038</v>
      </c>
      <c r="AO52">
        <f t="shared" si="39"/>
        <v>-5226.7193317403389</v>
      </c>
      <c r="AQ52">
        <f t="shared" si="23"/>
        <v>30.76923076923077</v>
      </c>
      <c r="AR52">
        <f t="shared" si="24"/>
        <v>-553.84615384615381</v>
      </c>
      <c r="AT52">
        <f t="shared" si="52"/>
        <v>-514498.6412206103</v>
      </c>
      <c r="AU52">
        <f t="shared" si="53"/>
        <v>-525771.28446914779</v>
      </c>
      <c r="AV52">
        <f t="shared" si="42"/>
        <v>-2.3453586467517584</v>
      </c>
      <c r="AW52">
        <f t="shared" si="25"/>
        <v>-2738530.4516002713</v>
      </c>
      <c r="AX52">
        <f t="shared" si="26"/>
        <v>-2886794.1733070011</v>
      </c>
      <c r="AY52">
        <f t="shared" si="50"/>
        <v>-2.3298441167028203</v>
      </c>
      <c r="BA52">
        <f t="shared" si="27"/>
        <v>0.18487285943108203</v>
      </c>
      <c r="BB52">
        <f t="shared" si="43"/>
        <v>-14.662536829761862</v>
      </c>
      <c r="BC52">
        <f t="shared" si="44"/>
        <v>-1.5514530048938102E-2</v>
      </c>
      <c r="BD52">
        <f t="shared" si="28"/>
        <v>-180.88891709394878</v>
      </c>
      <c r="BF52">
        <f t="shared" si="29"/>
        <v>12.947523669735988</v>
      </c>
      <c r="BG52">
        <f t="shared" si="30"/>
        <v>-45.506425406525423</v>
      </c>
      <c r="BH52">
        <f t="shared" si="45"/>
        <v>134.49357459347459</v>
      </c>
      <c r="BI52">
        <f t="shared" si="46"/>
        <v>134.49357459347459</v>
      </c>
      <c r="BJ52">
        <f t="shared" si="31"/>
        <v>0</v>
      </c>
      <c r="BK52">
        <f t="shared" si="47"/>
        <v>0</v>
      </c>
      <c r="BM52">
        <f t="shared" si="48"/>
        <v>27.610060499497848</v>
      </c>
      <c r="BN52">
        <f t="shared" si="32"/>
        <v>-44.617508312576646</v>
      </c>
      <c r="BQ52" s="56">
        <f t="shared" si="49"/>
        <v>2.2394239705232746</v>
      </c>
      <c r="BR52" s="58"/>
      <c r="BS52" s="58"/>
      <c r="BT52" s="58">
        <v>263.02699999999999</v>
      </c>
      <c r="BU52" s="58">
        <v>26.270299999999999</v>
      </c>
      <c r="BV52" s="58">
        <v>-267.3229</v>
      </c>
      <c r="BW52" s="61"/>
      <c r="BY52" s="58"/>
      <c r="BZ52" s="58"/>
      <c r="CA52" s="58"/>
      <c r="CC52" s="58"/>
    </row>
    <row r="53" spans="1:81" x14ac:dyDescent="0.2">
      <c r="A53">
        <f t="shared" si="54"/>
        <v>9500</v>
      </c>
      <c r="B53">
        <f t="shared" si="33"/>
        <v>9.5</v>
      </c>
      <c r="C53">
        <f t="shared" si="0"/>
        <v>1.0000178144772254</v>
      </c>
      <c r="D53">
        <f t="shared" si="1"/>
        <v>5.9689551458317587E-3</v>
      </c>
      <c r="F53">
        <f t="shared" si="2"/>
        <v>1.6705109105096134</v>
      </c>
      <c r="G53">
        <f t="shared" si="3"/>
        <v>-0.89143951835441138</v>
      </c>
      <c r="H53">
        <f t="shared" si="4"/>
        <v>-0.89143951835441138</v>
      </c>
      <c r="J53">
        <f t="shared" si="5"/>
        <v>15</v>
      </c>
      <c r="M53">
        <f t="shared" si="6"/>
        <v>8.3975698864928838E-2</v>
      </c>
      <c r="N53">
        <f t="shared" si="7"/>
        <v>-1.5707963250000001</v>
      </c>
      <c r="O53">
        <f t="shared" si="8"/>
        <v>1.4677835012463021</v>
      </c>
      <c r="P53">
        <f t="shared" si="9"/>
        <v>0.82126004781232653</v>
      </c>
      <c r="Q53">
        <f t="shared" si="10"/>
        <v>1.5093217284192015</v>
      </c>
      <c r="R53">
        <f t="shared" si="11"/>
        <v>0.84657919408294435</v>
      </c>
      <c r="S53">
        <f t="shared" si="12"/>
        <v>0.99999720639176271</v>
      </c>
      <c r="T53">
        <f t="shared" si="13"/>
        <v>-2.3637299076245512E-3</v>
      </c>
      <c r="U53">
        <f t="shared" si="14"/>
        <v>0.99840494850701444</v>
      </c>
      <c r="V53">
        <f t="shared" si="15"/>
        <v>-5.648850688384062E-2</v>
      </c>
      <c r="X53">
        <f t="shared" si="34"/>
        <v>13.357025531330425</v>
      </c>
      <c r="Y53">
        <f t="shared" si="16"/>
        <v>-48.545561423712691</v>
      </c>
      <c r="Z53">
        <f t="shared" si="35"/>
        <v>131.45443857628732</v>
      </c>
      <c r="AC53">
        <v>1</v>
      </c>
      <c r="AD53">
        <f t="shared" si="17"/>
        <v>1.0744246863000002</v>
      </c>
      <c r="AE53">
        <f t="shared" si="18"/>
        <v>-6.4132689251714096E-5</v>
      </c>
      <c r="AF53">
        <f t="shared" si="19"/>
        <v>1.1341149466499998E-3</v>
      </c>
      <c r="AG53">
        <f t="shared" si="36"/>
        <v>894.64606911320618</v>
      </c>
      <c r="AH53">
        <f t="shared" si="37"/>
        <v>-932.33588135314699</v>
      </c>
      <c r="AJ53">
        <f t="shared" si="20"/>
        <v>10500</v>
      </c>
      <c r="AK53">
        <f t="shared" si="21"/>
        <v>24.819210253530002</v>
      </c>
      <c r="AL53">
        <v>1</v>
      </c>
      <c r="AM53">
        <f t="shared" si="22"/>
        <v>1.1305096549248601</v>
      </c>
      <c r="AN53">
        <f t="shared" si="38"/>
        <v>4621.5178528234273</v>
      </c>
      <c r="AO53">
        <f t="shared" si="39"/>
        <v>-5199.8513427709631</v>
      </c>
      <c r="AQ53">
        <f t="shared" si="23"/>
        <v>27.624309392265193</v>
      </c>
      <c r="AR53">
        <f t="shared" si="24"/>
        <v>-524.86187845303868</v>
      </c>
      <c r="AT53">
        <f t="shared" si="52"/>
        <v>-464633.58222642506</v>
      </c>
      <c r="AU53">
        <f t="shared" si="53"/>
        <v>-495320.75122939405</v>
      </c>
      <c r="AV53">
        <f t="shared" si="42"/>
        <v>-2.3242380510503655</v>
      </c>
      <c r="AW53">
        <f t="shared" si="25"/>
        <v>-2596378.0330952168</v>
      </c>
      <c r="AX53">
        <f t="shared" si="26"/>
        <v>-2579913.4477899154</v>
      </c>
      <c r="AY53">
        <f t="shared" si="50"/>
        <v>-2.3593752480458745</v>
      </c>
      <c r="BA53">
        <f t="shared" si="27"/>
        <v>0.18554593506705028</v>
      </c>
      <c r="BB53">
        <f t="shared" si="43"/>
        <v>-14.630971114343536</v>
      </c>
      <c r="BC53">
        <f t="shared" si="44"/>
        <v>3.513719699550899E-2</v>
      </c>
      <c r="BD53">
        <f t="shared" si="28"/>
        <v>-177.98678690593715</v>
      </c>
      <c r="BF53">
        <f t="shared" si="29"/>
        <v>13.347995129283143</v>
      </c>
      <c r="BG53">
        <f t="shared" si="30"/>
        <v>-48.720513118832478</v>
      </c>
      <c r="BH53">
        <f t="shared" si="45"/>
        <v>131.27948688116751</v>
      </c>
      <c r="BI53">
        <f t="shared" si="46"/>
        <v>131.27948688116751</v>
      </c>
      <c r="BJ53">
        <f t="shared" si="31"/>
        <v>0</v>
      </c>
      <c r="BK53">
        <f t="shared" si="47"/>
        <v>0</v>
      </c>
      <c r="BM53">
        <f t="shared" si="48"/>
        <v>27.978966243626679</v>
      </c>
      <c r="BN53">
        <f t="shared" si="32"/>
        <v>-50.733726212895334</v>
      </c>
      <c r="BQ53" s="56">
        <f t="shared" si="49"/>
        <v>2.2709896859416006</v>
      </c>
      <c r="BR53" s="58"/>
      <c r="BS53" s="58"/>
      <c r="BT53" s="58">
        <v>269.15300000000002</v>
      </c>
      <c r="BU53" s="58">
        <v>26.235900000000001</v>
      </c>
      <c r="BV53" s="58">
        <v>-265.67700000000002</v>
      </c>
      <c r="BW53" s="61"/>
      <c r="BY53" s="58"/>
      <c r="BZ53" s="58"/>
      <c r="CA53" s="58"/>
      <c r="CC53" s="58"/>
    </row>
    <row r="54" spans="1:81" x14ac:dyDescent="0.2">
      <c r="A54">
        <f t="shared" si="54"/>
        <v>10000</v>
      </c>
      <c r="B54">
        <f t="shared" si="33"/>
        <v>10</v>
      </c>
      <c r="C54">
        <f t="shared" si="0"/>
        <v>1.0000197390139427</v>
      </c>
      <c r="D54">
        <f t="shared" si="1"/>
        <v>6.2831026185542743E-3</v>
      </c>
      <c r="F54">
        <f t="shared" si="2"/>
        <v>1.7295721055751609</v>
      </c>
      <c r="G54">
        <f t="shared" si="3"/>
        <v>-1.0119668870287626</v>
      </c>
      <c r="H54">
        <f t="shared" si="4"/>
        <v>-1.0119668870287626</v>
      </c>
      <c r="J54">
        <f t="shared" si="5"/>
        <v>15</v>
      </c>
      <c r="M54">
        <f t="shared" si="6"/>
        <v>7.9776913921682402E-2</v>
      </c>
      <c r="N54">
        <f t="shared" si="7"/>
        <v>-1.5707963250000001</v>
      </c>
      <c r="O54">
        <f t="shared" si="8"/>
        <v>1.5096690787911133</v>
      </c>
      <c r="P54">
        <f t="shared" si="9"/>
        <v>0.84678269794170058</v>
      </c>
      <c r="Q54">
        <f t="shared" si="10"/>
        <v>1.5543886863429084</v>
      </c>
      <c r="R54">
        <f t="shared" si="11"/>
        <v>0.87194366411819779</v>
      </c>
      <c r="S54">
        <f t="shared" si="12"/>
        <v>0.99999690459061197</v>
      </c>
      <c r="T54">
        <f t="shared" si="13"/>
        <v>-2.4881362442511104E-3</v>
      </c>
      <c r="U54">
        <f t="shared" si="14"/>
        <v>0.9982330863768385</v>
      </c>
      <c r="V54">
        <f t="shared" si="15"/>
        <v>-5.9454759255990447E-2</v>
      </c>
      <c r="X54">
        <f t="shared" si="34"/>
        <v>13.711754771779887</v>
      </c>
      <c r="Y54">
        <f t="shared" si="16"/>
        <v>-52.694736127899716</v>
      </c>
      <c r="Z54">
        <f t="shared" si="35"/>
        <v>127.30526387210028</v>
      </c>
      <c r="AC54">
        <v>1</v>
      </c>
      <c r="AD54">
        <f t="shared" si="17"/>
        <v>1.130973354</v>
      </c>
      <c r="AE54">
        <f t="shared" si="18"/>
        <v>-7.1061151525444986E-5</v>
      </c>
      <c r="AF54">
        <f t="shared" si="19"/>
        <v>1.1938052070000001E-3</v>
      </c>
      <c r="AG54">
        <f t="shared" si="36"/>
        <v>894.33809278373087</v>
      </c>
      <c r="AH54">
        <f t="shared" si="37"/>
        <v>-890.89299367269564</v>
      </c>
      <c r="AJ54">
        <f t="shared" si="20"/>
        <v>10500</v>
      </c>
      <c r="AK54">
        <f t="shared" si="21"/>
        <v>26.125484477400004</v>
      </c>
      <c r="AL54">
        <v>1</v>
      </c>
      <c r="AM54">
        <f t="shared" si="22"/>
        <v>1.1900101630788</v>
      </c>
      <c r="AN54">
        <f t="shared" si="38"/>
        <v>4358.6706525026284</v>
      </c>
      <c r="AO54">
        <f t="shared" si="39"/>
        <v>-5160.7368895140316</v>
      </c>
      <c r="AQ54">
        <f t="shared" si="23"/>
        <v>24.937655860349128</v>
      </c>
      <c r="AR54">
        <f t="shared" si="24"/>
        <v>-498.75311720698255</v>
      </c>
      <c r="AT54">
        <f t="shared" si="52"/>
        <v>-422032.96211147588</v>
      </c>
      <c r="AU54">
        <f t="shared" si="53"/>
        <v>-468270.69449743925</v>
      </c>
      <c r="AV54">
        <f t="shared" si="42"/>
        <v>-2.3043063191821402</v>
      </c>
      <c r="AW54">
        <f t="shared" si="25"/>
        <v>-2460335.3428135025</v>
      </c>
      <c r="AX54">
        <f t="shared" si="26"/>
        <v>-2312898.161600559</v>
      </c>
      <c r="AY54">
        <f t="shared" si="50"/>
        <v>-2.3870729960365553</v>
      </c>
      <c r="BA54">
        <f t="shared" si="27"/>
        <v>0.18668236911552735</v>
      </c>
      <c r="BB54">
        <f t="shared" si="43"/>
        <v>-14.577933925689226</v>
      </c>
      <c r="BC54">
        <f t="shared" si="44"/>
        <v>8.2766676854415078E-2</v>
      </c>
      <c r="BD54">
        <f t="shared" si="28"/>
        <v>-175.25781872650018</v>
      </c>
      <c r="BF54">
        <f t="shared" si="29"/>
        <v>13.702836152488114</v>
      </c>
      <c r="BG54">
        <f t="shared" si="30"/>
        <v>-52.879255163791761</v>
      </c>
      <c r="BH54">
        <f t="shared" si="45"/>
        <v>127.12074483620825</v>
      </c>
      <c r="BI54">
        <f t="shared" si="46"/>
        <v>127.12074483620825</v>
      </c>
      <c r="BJ54">
        <f t="shared" si="31"/>
        <v>0</v>
      </c>
      <c r="BK54">
        <f t="shared" si="47"/>
        <v>0</v>
      </c>
      <c r="BM54">
        <f t="shared" si="48"/>
        <v>28.280770078177341</v>
      </c>
      <c r="BN54">
        <f t="shared" si="32"/>
        <v>-57.621436437291592</v>
      </c>
      <c r="BQ54" s="56">
        <f t="shared" si="49"/>
        <v>2.3240268745959112</v>
      </c>
      <c r="BR54" s="58"/>
      <c r="BS54" s="58"/>
      <c r="BT54" s="58">
        <v>275.423</v>
      </c>
      <c r="BU54" s="58">
        <v>25.845600000000001</v>
      </c>
      <c r="BV54" s="58">
        <v>-266.46569999999997</v>
      </c>
      <c r="BW54" s="61"/>
      <c r="BY54" s="58"/>
      <c r="BZ54" s="58"/>
      <c r="CA54" s="58"/>
      <c r="CC54" s="58"/>
    </row>
    <row r="55" spans="1:81" x14ac:dyDescent="0.2">
      <c r="A55">
        <f t="shared" si="54"/>
        <v>10500</v>
      </c>
      <c r="B55">
        <f t="shared" si="33"/>
        <v>10.5</v>
      </c>
      <c r="C55">
        <f t="shared" si="0"/>
        <v>1.0000217622408571</v>
      </c>
      <c r="D55">
        <f t="shared" si="1"/>
        <v>6.5972488511237696E-3</v>
      </c>
      <c r="F55">
        <f t="shared" si="2"/>
        <v>1.7693293993080843</v>
      </c>
      <c r="G55">
        <f t="shared" si="3"/>
        <v>-1.1450592548511997</v>
      </c>
      <c r="H55">
        <f t="shared" si="4"/>
        <v>-1.1450592548511997</v>
      </c>
      <c r="J55">
        <f t="shared" si="5"/>
        <v>15</v>
      </c>
      <c r="M55">
        <f t="shared" si="6"/>
        <v>7.5978013258745147E-2</v>
      </c>
      <c r="N55">
        <f t="shared" si="7"/>
        <v>-1.5707963250000001</v>
      </c>
      <c r="O55">
        <f t="shared" si="8"/>
        <v>1.5524846382565127</v>
      </c>
      <c r="P55">
        <f t="shared" si="9"/>
        <v>0.87091259401897825</v>
      </c>
      <c r="Q55">
        <f t="shared" si="10"/>
        <v>1.6003989869793382</v>
      </c>
      <c r="R55">
        <f t="shared" si="11"/>
        <v>0.89586438141408198</v>
      </c>
      <c r="S55">
        <f t="shared" si="12"/>
        <v>0.99999658731277385</v>
      </c>
      <c r="T55">
        <f t="shared" si="13"/>
        <v>-2.6125425038601045E-3</v>
      </c>
      <c r="U55">
        <f t="shared" si="14"/>
        <v>0.99805250646481491</v>
      </c>
      <c r="V55">
        <f t="shared" si="15"/>
        <v>-6.2419964522845157E-2</v>
      </c>
      <c r="X55">
        <f t="shared" si="34"/>
        <v>13.98009647912367</v>
      </c>
      <c r="Y55">
        <f t="shared" si="16"/>
        <v>-57.726292193505699</v>
      </c>
      <c r="Z55">
        <f t="shared" si="35"/>
        <v>122.2737078064943</v>
      </c>
      <c r="AC55">
        <v>1</v>
      </c>
      <c r="AD55">
        <f t="shared" si="17"/>
        <v>1.1875220217</v>
      </c>
      <c r="AE55">
        <f t="shared" si="18"/>
        <v>-7.8344919556803106E-5</v>
      </c>
      <c r="AF55">
        <f t="shared" si="19"/>
        <v>1.2534954673499999E-3</v>
      </c>
      <c r="AG55">
        <f t="shared" si="36"/>
        <v>894.01455134090463</v>
      </c>
      <c r="AH55">
        <f t="shared" si="37"/>
        <v>-853.64608487143312</v>
      </c>
      <c r="AJ55">
        <f t="shared" si="20"/>
        <v>10500</v>
      </c>
      <c r="AK55">
        <f t="shared" si="21"/>
        <v>27.431758701270002</v>
      </c>
      <c r="AL55">
        <v>1</v>
      </c>
      <c r="AM55">
        <f t="shared" si="22"/>
        <v>1.2495106712327402</v>
      </c>
      <c r="AN55">
        <f t="shared" si="38"/>
        <v>4112.9001722349612</v>
      </c>
      <c r="AO55">
        <f t="shared" si="39"/>
        <v>-5111.680896221289</v>
      </c>
      <c r="AQ55">
        <f t="shared" si="23"/>
        <v>22.624434389140273</v>
      </c>
      <c r="AR55">
        <f t="shared" si="24"/>
        <v>-475.11312217194569</v>
      </c>
      <c r="AT55">
        <f t="shared" si="52"/>
        <v>-385351.88305337535</v>
      </c>
      <c r="AU55">
        <f t="shared" si="53"/>
        <v>-444071.30459344864</v>
      </c>
      <c r="AV55">
        <f t="shared" si="42"/>
        <v>-2.2855169208166766</v>
      </c>
      <c r="AW55">
        <f t="shared" si="25"/>
        <v>-2330911.0022219871</v>
      </c>
      <c r="AX55">
        <f t="shared" si="26"/>
        <v>-2079747.4971642231</v>
      </c>
      <c r="AY55">
        <f t="shared" si="50"/>
        <v>-2.4130777310497753</v>
      </c>
      <c r="BA55">
        <f t="shared" si="27"/>
        <v>0.18821548880822506</v>
      </c>
      <c r="BB55">
        <f t="shared" si="43"/>
        <v>-14.506892801261779</v>
      </c>
      <c r="BC55">
        <f t="shared" si="44"/>
        <v>0.12756081023309873</v>
      </c>
      <c r="BD55">
        <f t="shared" si="28"/>
        <v>-172.69130393402284</v>
      </c>
      <c r="BF55">
        <f t="shared" si="29"/>
        <v>13.971295279004213</v>
      </c>
      <c r="BG55">
        <f t="shared" si="30"/>
        <v>-57.92037208835967</v>
      </c>
      <c r="BH55">
        <f t="shared" si="45"/>
        <v>122.07962791164033</v>
      </c>
      <c r="BI55">
        <f t="shared" si="46"/>
        <v>122.07962791164033</v>
      </c>
      <c r="BJ55">
        <f t="shared" si="31"/>
        <v>0</v>
      </c>
      <c r="BK55">
        <f t="shared" si="47"/>
        <v>0</v>
      </c>
      <c r="BM55">
        <f t="shared" si="48"/>
        <v>28.478188080265991</v>
      </c>
      <c r="BN55">
        <f t="shared" si="32"/>
        <v>-65.229068154336844</v>
      </c>
      <c r="BQ55" s="56">
        <f t="shared" si="49"/>
        <v>2.3950679990233574</v>
      </c>
      <c r="BR55" s="59"/>
      <c r="BS55" s="59"/>
      <c r="BT55" s="59">
        <v>281.83800000000002</v>
      </c>
      <c r="BU55" s="59">
        <v>26.1068</v>
      </c>
      <c r="BV55" s="59">
        <v>-266.67570000000001</v>
      </c>
      <c r="BW55" s="61"/>
      <c r="BY55" s="59"/>
      <c r="BZ55" s="59"/>
      <c r="CA55" s="59"/>
      <c r="CC55" s="59"/>
    </row>
    <row r="56" spans="1:81" x14ac:dyDescent="0.2">
      <c r="A56">
        <f t="shared" si="54"/>
        <v>11000</v>
      </c>
      <c r="B56">
        <f t="shared" si="33"/>
        <v>11</v>
      </c>
      <c r="C56">
        <f t="shared" si="0"/>
        <v>1.0000238841573696</v>
      </c>
      <c r="D56">
        <f t="shared" si="1"/>
        <v>6.9113937815431315E-3</v>
      </c>
      <c r="F56">
        <f t="shared" si="2"/>
        <v>1.7807605540983185</v>
      </c>
      <c r="G56">
        <f t="shared" si="3"/>
        <v>-1.2879576653272042</v>
      </c>
      <c r="H56">
        <f t="shared" si="4"/>
        <v>-1.2879576653272042</v>
      </c>
      <c r="J56">
        <f t="shared" si="5"/>
        <v>15</v>
      </c>
      <c r="M56">
        <f t="shared" si="6"/>
        <v>7.2524467201529455E-2</v>
      </c>
      <c r="N56">
        <f t="shared" si="7"/>
        <v>-1.5707963250000001</v>
      </c>
      <c r="O56">
        <f t="shared" si="8"/>
        <v>1.5961553433874132</v>
      </c>
      <c r="P56">
        <f t="shared" si="9"/>
        <v>0.89373479948105183</v>
      </c>
      <c r="Q56">
        <f t="shared" si="10"/>
        <v>1.6472735861900134</v>
      </c>
      <c r="R56">
        <f t="shared" si="11"/>
        <v>0.91843604404021273</v>
      </c>
      <c r="S56">
        <f t="shared" si="12"/>
        <v>0.99999625455829233</v>
      </c>
      <c r="T56">
        <f t="shared" si="13"/>
        <v>-2.7369486826007584E-3</v>
      </c>
      <c r="U56">
        <f t="shared" si="14"/>
        <v>0.99786322302480512</v>
      </c>
      <c r="V56">
        <f t="shared" si="15"/>
        <v>-6.5384071124481358E-2</v>
      </c>
      <c r="X56">
        <f t="shared" si="34"/>
        <v>14.122039728514489</v>
      </c>
      <c r="Y56">
        <f t="shared" si="16"/>
        <v>-63.471850530865666</v>
      </c>
      <c r="Z56">
        <f t="shared" si="35"/>
        <v>116.52814946913433</v>
      </c>
      <c r="AC56">
        <v>1</v>
      </c>
      <c r="AD56">
        <f t="shared" si="17"/>
        <v>1.2440706894000002</v>
      </c>
      <c r="AE56">
        <f t="shared" si="18"/>
        <v>-8.5983993345788417E-5</v>
      </c>
      <c r="AF56">
        <f t="shared" si="19"/>
        <v>1.3131857277E-3</v>
      </c>
      <c r="AG56">
        <f t="shared" si="36"/>
        <v>893.67547879336985</v>
      </c>
      <c r="AH56">
        <f t="shared" si="37"/>
        <v>-820.02245661618258</v>
      </c>
      <c r="AJ56">
        <f t="shared" si="20"/>
        <v>10500</v>
      </c>
      <c r="AK56">
        <f t="shared" si="21"/>
        <v>28.738032925140004</v>
      </c>
      <c r="AL56">
        <v>1</v>
      </c>
      <c r="AM56">
        <f t="shared" si="22"/>
        <v>1.3090111793866801</v>
      </c>
      <c r="AN56">
        <f t="shared" si="38"/>
        <v>3883.3899143761387</v>
      </c>
      <c r="AO56">
        <f t="shared" si="39"/>
        <v>-5054.6627789107079</v>
      </c>
      <c r="AQ56">
        <f t="shared" si="23"/>
        <v>20.618556701030929</v>
      </c>
      <c r="AR56">
        <f t="shared" si="24"/>
        <v>-453.60824742268039</v>
      </c>
      <c r="AT56">
        <f t="shared" si="52"/>
        <v>-353542.65086108551</v>
      </c>
      <c r="AU56">
        <f t="shared" si="53"/>
        <v>-422286.24721794471</v>
      </c>
      <c r="AV56">
        <f t="shared" si="42"/>
        <v>-2.2678186458116456</v>
      </c>
      <c r="AW56">
        <f t="shared" si="25"/>
        <v>-2208326.9872435243</v>
      </c>
      <c r="AX56">
        <f t="shared" si="26"/>
        <v>-1875483.0770244945</v>
      </c>
      <c r="AY56">
        <f t="shared" si="50"/>
        <v>-2.4375180153143665</v>
      </c>
      <c r="BA56">
        <f t="shared" si="27"/>
        <v>0.19009072182759087</v>
      </c>
      <c r="BB56">
        <f t="shared" si="43"/>
        <v>-14.420781603502828</v>
      </c>
      <c r="BC56">
        <f t="shared" si="44"/>
        <v>0.16969936950272091</v>
      </c>
      <c r="BD56">
        <f t="shared" si="28"/>
        <v>-170.2769423303528</v>
      </c>
      <c r="BF56">
        <f t="shared" si="29"/>
        <v>14.113361569750998</v>
      </c>
      <c r="BG56">
        <f t="shared" si="30"/>
        <v>-63.675487134759251</v>
      </c>
      <c r="BH56">
        <f t="shared" si="45"/>
        <v>116.32451286524075</v>
      </c>
      <c r="BI56">
        <f t="shared" si="46"/>
        <v>116.32451286524075</v>
      </c>
      <c r="BJ56">
        <f t="shared" si="31"/>
        <v>0</v>
      </c>
      <c r="BK56">
        <f t="shared" si="47"/>
        <v>0</v>
      </c>
      <c r="BM56">
        <f t="shared" si="48"/>
        <v>28.534143173253828</v>
      </c>
      <c r="BN56">
        <f t="shared" si="32"/>
        <v>-73.398544804406455</v>
      </c>
      <c r="BQ56" s="56">
        <f t="shared" si="49"/>
        <v>2.4811791967823078</v>
      </c>
      <c r="BR56" s="59"/>
      <c r="BS56" s="59"/>
      <c r="BT56" s="59">
        <v>288.40300000000002</v>
      </c>
      <c r="BU56" s="59">
        <v>25.784400000000002</v>
      </c>
      <c r="BV56" s="59">
        <v>-268.05989999999997</v>
      </c>
      <c r="BW56" s="61"/>
      <c r="BY56" s="59"/>
      <c r="BZ56" s="59"/>
      <c r="CA56" s="59"/>
      <c r="CC56" s="59"/>
    </row>
    <row r="57" spans="1:81" x14ac:dyDescent="0.2">
      <c r="A57">
        <f t="shared" si="54"/>
        <v>11500</v>
      </c>
      <c r="B57">
        <f t="shared" si="33"/>
        <v>11.5</v>
      </c>
      <c r="C57">
        <f t="shared" si="0"/>
        <v>1.000026104762852</v>
      </c>
      <c r="D57">
        <f t="shared" si="1"/>
        <v>7.2255373478167899E-3</v>
      </c>
      <c r="F57">
        <f t="shared" si="2"/>
        <v>1.7577236276871842</v>
      </c>
      <c r="G57">
        <f t="shared" si="3"/>
        <v>-1.4359973787149307</v>
      </c>
      <c r="H57">
        <f t="shared" si="4"/>
        <v>-1.4359973787149307</v>
      </c>
      <c r="J57">
        <f t="shared" si="5"/>
        <v>15</v>
      </c>
      <c r="M57">
        <f t="shared" si="6"/>
        <v>6.9371229497115133E-2</v>
      </c>
      <c r="N57">
        <f t="shared" si="7"/>
        <v>-1.5707963250000001</v>
      </c>
      <c r="O57">
        <f t="shared" si="8"/>
        <v>1.6406129074413676</v>
      </c>
      <c r="P57">
        <f t="shared" si="9"/>
        <v>0.91533087592885598</v>
      </c>
      <c r="Q57">
        <f t="shared" si="10"/>
        <v>1.6949407774123777</v>
      </c>
      <c r="R57">
        <f t="shared" si="11"/>
        <v>0.93974848974741065</v>
      </c>
      <c r="S57">
        <f t="shared" si="12"/>
        <v>0.99999590632721425</v>
      </c>
      <c r="T57">
        <f t="shared" si="13"/>
        <v>-2.8613547766223116E-3</v>
      </c>
      <c r="U57">
        <f t="shared" si="14"/>
        <v>0.99766525098289294</v>
      </c>
      <c r="V57">
        <f t="shared" si="15"/>
        <v>-6.8347027616396064E-2</v>
      </c>
      <c r="X57">
        <f t="shared" si="34"/>
        <v>14.10752597377612</v>
      </c>
      <c r="Y57">
        <f t="shared" si="16"/>
        <v>-69.654317836240082</v>
      </c>
      <c r="Z57">
        <f t="shared" si="35"/>
        <v>110.34568216375992</v>
      </c>
      <c r="AC57">
        <v>1</v>
      </c>
      <c r="AD57">
        <f t="shared" si="17"/>
        <v>1.3006193571000002</v>
      </c>
      <c r="AE57">
        <f t="shared" si="18"/>
        <v>-9.3978372892400999E-5</v>
      </c>
      <c r="AF57">
        <f t="shared" si="19"/>
        <v>1.3728759880499999E-3</v>
      </c>
      <c r="AG57">
        <f t="shared" si="36"/>
        <v>893.3209107425979</v>
      </c>
      <c r="AH57">
        <f t="shared" si="37"/>
        <v>-789.54898701518391</v>
      </c>
      <c r="AJ57">
        <f t="shared" si="20"/>
        <v>10500</v>
      </c>
      <c r="AK57">
        <f t="shared" si="21"/>
        <v>30.044307149010002</v>
      </c>
      <c r="AL57">
        <v>1</v>
      </c>
      <c r="AM57">
        <f t="shared" si="22"/>
        <v>1.3685116875406202</v>
      </c>
      <c r="AN57">
        <f t="shared" si="38"/>
        <v>3669.2519655794258</v>
      </c>
      <c r="AO57">
        <f t="shared" si="39"/>
        <v>-4991.3698922778267</v>
      </c>
      <c r="AQ57">
        <f t="shared" si="23"/>
        <v>18.867924528301888</v>
      </c>
      <c r="AR57">
        <f t="shared" si="24"/>
        <v>-433.96226415094338</v>
      </c>
      <c r="AT57">
        <f t="shared" si="52"/>
        <v>-325779.35453974776</v>
      </c>
      <c r="AU57">
        <f t="shared" si="53"/>
        <v>-402564.71573764028</v>
      </c>
      <c r="AV57">
        <f t="shared" si="42"/>
        <v>-2.2511579098858023</v>
      </c>
      <c r="AW57">
        <f t="shared" si="25"/>
        <v>-2092603.9933968533</v>
      </c>
      <c r="AX57">
        <f t="shared" si="26"/>
        <v>-1695952.5746580511</v>
      </c>
      <c r="AY57">
        <f t="shared" si="50"/>
        <v>-2.4605116805946379</v>
      </c>
      <c r="BA57">
        <f t="shared" si="27"/>
        <v>0.19226296541568119</v>
      </c>
      <c r="BB57">
        <f t="shared" si="43"/>
        <v>-14.322087270465868</v>
      </c>
      <c r="BC57">
        <f t="shared" si="44"/>
        <v>0.20935377070883554</v>
      </c>
      <c r="BD57">
        <f t="shared" si="28"/>
        <v>-168.00491249952779</v>
      </c>
      <c r="BF57">
        <f t="shared" si="29"/>
        <v>14.09897646364378</v>
      </c>
      <c r="BG57">
        <f t="shared" si="30"/>
        <v>-69.86750899054023</v>
      </c>
      <c r="BH57">
        <f t="shared" si="45"/>
        <v>110.13249100945977</v>
      </c>
      <c r="BI57">
        <f t="shared" si="46"/>
        <v>110.13249100945977</v>
      </c>
      <c r="BJ57">
        <f t="shared" si="31"/>
        <v>0</v>
      </c>
      <c r="BK57">
        <f t="shared" si="47"/>
        <v>0</v>
      </c>
      <c r="BM57">
        <f t="shared" si="48"/>
        <v>28.421063734109651</v>
      </c>
      <c r="BN57">
        <f t="shared" si="32"/>
        <v>-81.862596491012454</v>
      </c>
      <c r="BQ57" s="56">
        <f t="shared" si="49"/>
        <v>2.5798735298192681</v>
      </c>
      <c r="BR57" s="59"/>
      <c r="BS57" s="59"/>
      <c r="BT57" s="59">
        <v>295.12099999999998</v>
      </c>
      <c r="BU57" s="59">
        <v>25.581099999999999</v>
      </c>
      <c r="BV57" s="59">
        <v>-265.88</v>
      </c>
      <c r="BW57" s="61"/>
      <c r="BY57" s="59"/>
      <c r="BZ57" s="59"/>
      <c r="CA57" s="59"/>
      <c r="CC57" s="59"/>
    </row>
    <row r="58" spans="1:81" x14ac:dyDescent="0.2">
      <c r="A58">
        <f t="shared" si="54"/>
        <v>12000</v>
      </c>
      <c r="B58">
        <f t="shared" si="33"/>
        <v>12</v>
      </c>
      <c r="C58">
        <f t="shared" si="0"/>
        <v>1.0000284240566466</v>
      </c>
      <c r="D58">
        <f t="shared" si="1"/>
        <v>7.5396794879507897E-3</v>
      </c>
      <c r="F58">
        <f t="shared" si="2"/>
        <v>1.6997725463949431</v>
      </c>
      <c r="G58">
        <f t="shared" si="3"/>
        <v>1.5582629192965374</v>
      </c>
      <c r="H58">
        <f t="shared" si="4"/>
        <v>-1.5833297307034628</v>
      </c>
      <c r="J58">
        <f t="shared" si="5"/>
        <v>15</v>
      </c>
      <c r="M58">
        <f t="shared" si="6"/>
        <v>6.6480761601401997E-2</v>
      </c>
      <c r="N58">
        <f t="shared" si="7"/>
        <v>-1.5707963250000001</v>
      </c>
      <c r="O58">
        <f t="shared" si="8"/>
        <v>1.6857950787505382</v>
      </c>
      <c r="P58">
        <f t="shared" si="9"/>
        <v>0.93577844742166072</v>
      </c>
      <c r="Q58">
        <f t="shared" si="10"/>
        <v>1.7433355474642276</v>
      </c>
      <c r="R58">
        <f t="shared" si="11"/>
        <v>0.95988640527885183</v>
      </c>
      <c r="S58">
        <f t="shared" si="12"/>
        <v>0.99999554261958745</v>
      </c>
      <c r="T58">
        <f t="shared" si="13"/>
        <v>-2.9857607820740198E-3</v>
      </c>
      <c r="U58">
        <f t="shared" si="14"/>
        <v>0.99745860593413083</v>
      </c>
      <c r="V58">
        <f t="shared" si="15"/>
        <v>-7.130878267477353E-2</v>
      </c>
      <c r="X58">
        <f t="shared" si="34"/>
        <v>13.925382263847375</v>
      </c>
      <c r="Y58">
        <f t="shared" si="16"/>
        <v>-75.929287667174961</v>
      </c>
      <c r="Z58">
        <f t="shared" si="35"/>
        <v>104.07071233282504</v>
      </c>
      <c r="AC58">
        <v>1</v>
      </c>
      <c r="AD58">
        <f t="shared" si="17"/>
        <v>1.3571680248</v>
      </c>
      <c r="AE58">
        <f t="shared" si="18"/>
        <v>-1.0232805819664078E-4</v>
      </c>
      <c r="AF58">
        <f t="shared" si="19"/>
        <v>1.4325662483999999E-3</v>
      </c>
      <c r="AG58">
        <f t="shared" si="36"/>
        <v>892.95088437359379</v>
      </c>
      <c r="AH58">
        <f t="shared" si="37"/>
        <v>-761.8313856562329</v>
      </c>
      <c r="AJ58">
        <f t="shared" si="20"/>
        <v>10500</v>
      </c>
      <c r="AK58">
        <f t="shared" si="21"/>
        <v>31.350581372880004</v>
      </c>
      <c r="AL58">
        <v>1</v>
      </c>
      <c r="AM58">
        <f t="shared" si="22"/>
        <v>1.4280121956945602</v>
      </c>
      <c r="AN58">
        <f t="shared" si="38"/>
        <v>3469.5655688903521</v>
      </c>
      <c r="AO58">
        <f t="shared" si="39"/>
        <v>-4923.2313647644769</v>
      </c>
      <c r="AQ58">
        <f t="shared" si="23"/>
        <v>17.331022530329289</v>
      </c>
      <c r="AR58">
        <f t="shared" si="24"/>
        <v>-415.94454072790296</v>
      </c>
      <c r="AT58">
        <f t="shared" si="52"/>
        <v>-301403.85392332746</v>
      </c>
      <c r="AU58">
        <f t="shared" si="53"/>
        <v>-384621.36240246939</v>
      </c>
      <c r="AV58">
        <f t="shared" si="42"/>
        <v>-2.2354804097443175</v>
      </c>
      <c r="AW58">
        <f t="shared" si="25"/>
        <v>-1983623.8336807059</v>
      </c>
      <c r="AX58">
        <f t="shared" si="26"/>
        <v>-1537676.2674056781</v>
      </c>
      <c r="AY58">
        <f t="shared" si="50"/>
        <v>-2.482166755683588</v>
      </c>
      <c r="BA58">
        <f t="shared" si="27"/>
        <v>0.19469461330676635</v>
      </c>
      <c r="BB58">
        <f t="shared" si="43"/>
        <v>-14.212921282235165</v>
      </c>
      <c r="BC58">
        <f t="shared" si="44"/>
        <v>0.24668634593927052</v>
      </c>
      <c r="BD58">
        <f t="shared" si="28"/>
        <v>-165.86591349802507</v>
      </c>
      <c r="BF58">
        <f t="shared" si="29"/>
        <v>13.916966994042859</v>
      </c>
      <c r="BG58">
        <f t="shared" si="30"/>
        <v>-76.152032934544664</v>
      </c>
      <c r="BH58">
        <f t="shared" si="45"/>
        <v>103.84796706545534</v>
      </c>
      <c r="BI58">
        <f t="shared" si="46"/>
        <v>103.84796706545534</v>
      </c>
      <c r="BJ58">
        <f t="shared" si="31"/>
        <v>0</v>
      </c>
      <c r="BK58">
        <f t="shared" si="47"/>
        <v>0</v>
      </c>
      <c r="BM58">
        <f t="shared" si="48"/>
        <v>28.12988827627802</v>
      </c>
      <c r="BN58">
        <f t="shared" si="32"/>
        <v>-90.286119436519613</v>
      </c>
      <c r="BQ58" s="56">
        <f t="shared" si="49"/>
        <v>2.689039518049972</v>
      </c>
      <c r="BR58" s="59"/>
      <c r="BS58" s="59"/>
      <c r="BT58" s="59">
        <v>301.995</v>
      </c>
      <c r="BU58" s="59">
        <v>24.917000000000002</v>
      </c>
      <c r="BV58" s="59">
        <v>-267.13580000000002</v>
      </c>
      <c r="BW58" s="61"/>
      <c r="BY58" s="59"/>
      <c r="BZ58" s="59"/>
      <c r="CA58" s="59"/>
      <c r="CC58" s="59"/>
    </row>
    <row r="59" spans="1:81" x14ac:dyDescent="0.2">
      <c r="A59">
        <f t="shared" si="54"/>
        <v>12500</v>
      </c>
      <c r="B59">
        <f t="shared" si="33"/>
        <v>12.5</v>
      </c>
      <c r="C59">
        <f t="shared" si="0"/>
        <v>1.0000308420380672</v>
      </c>
      <c r="D59">
        <f t="shared" si="1"/>
        <v>7.853820139952861E-3</v>
      </c>
      <c r="F59">
        <f t="shared" si="2"/>
        <v>1.6127360646386029</v>
      </c>
      <c r="G59">
        <f t="shared" si="3"/>
        <v>1.4173534860940225</v>
      </c>
      <c r="H59">
        <f t="shared" si="4"/>
        <v>-1.7242391639059778</v>
      </c>
      <c r="J59">
        <f t="shared" si="5"/>
        <v>15</v>
      </c>
      <c r="M59">
        <f t="shared" si="6"/>
        <v>6.3821531137345927E-2</v>
      </c>
      <c r="N59">
        <f t="shared" si="7"/>
        <v>-1.5707963250000001</v>
      </c>
      <c r="O59">
        <f t="shared" si="8"/>
        <v>1.7316451387779019</v>
      </c>
      <c r="P59">
        <f t="shared" si="9"/>
        <v>0.95515095603250688</v>
      </c>
      <c r="Q59">
        <f t="shared" si="10"/>
        <v>1.7923989634316004</v>
      </c>
      <c r="R59">
        <f t="shared" si="11"/>
        <v>0.97892922488068201</v>
      </c>
      <c r="S59">
        <f t="shared" si="12"/>
        <v>0.99999516343546302</v>
      </c>
      <c r="T59">
        <f t="shared" si="13"/>
        <v>-3.1101666951051533E-3</v>
      </c>
      <c r="U59">
        <f t="shared" si="14"/>
        <v>0.99724330413915063</v>
      </c>
      <c r="V59">
        <f t="shared" si="15"/>
        <v>-7.4269285101720331E-2</v>
      </c>
      <c r="X59">
        <f t="shared" si="34"/>
        <v>13.586555620128218</v>
      </c>
      <c r="Y59">
        <f t="shared" si="16"/>
        <v>-81.960520609487375</v>
      </c>
      <c r="Z59">
        <f t="shared" si="35"/>
        <v>98.039479390512625</v>
      </c>
      <c r="AC59">
        <v>1</v>
      </c>
      <c r="AD59">
        <f t="shared" si="17"/>
        <v>1.4137166925000002</v>
      </c>
      <c r="AE59">
        <f t="shared" si="18"/>
        <v>-1.1103304925850779E-4</v>
      </c>
      <c r="AF59">
        <f t="shared" si="19"/>
        <v>1.49225650875E-3</v>
      </c>
      <c r="AG59">
        <f t="shared" si="36"/>
        <v>892.56543844520809</v>
      </c>
      <c r="AH59">
        <f t="shared" si="37"/>
        <v>-736.53842744100439</v>
      </c>
      <c r="AJ59">
        <f t="shared" si="20"/>
        <v>10500</v>
      </c>
      <c r="AK59">
        <f t="shared" si="21"/>
        <v>32.656855596750006</v>
      </c>
      <c r="AL59">
        <v>1</v>
      </c>
      <c r="AM59">
        <f t="shared" si="22"/>
        <v>1.4875127038485001</v>
      </c>
      <c r="AN59">
        <f t="shared" si="38"/>
        <v>3283.4055601730743</v>
      </c>
      <c r="AO59">
        <f t="shared" si="39"/>
        <v>-4851.4506270474985</v>
      </c>
      <c r="AQ59">
        <f t="shared" si="23"/>
        <v>15.974440894568691</v>
      </c>
      <c r="AR59">
        <f t="shared" si="24"/>
        <v>-399.36102236421726</v>
      </c>
      <c r="AT59">
        <f t="shared" si="52"/>
        <v>-279886.50555239461</v>
      </c>
      <c r="AU59">
        <f t="shared" si="53"/>
        <v>-368221.63560017903</v>
      </c>
      <c r="AV59">
        <f t="shared" si="42"/>
        <v>-2.2207322955357167</v>
      </c>
      <c r="AW59">
        <f t="shared" si="25"/>
        <v>-1881175.0560608327</v>
      </c>
      <c r="AX59">
        <f t="shared" si="26"/>
        <v>-1397725.6974582348</v>
      </c>
      <c r="AY59">
        <f t="shared" si="50"/>
        <v>-2.5025822919843645</v>
      </c>
      <c r="BA59">
        <f t="shared" si="27"/>
        <v>0.19735405627671088</v>
      </c>
      <c r="BB59">
        <f t="shared" si="43"/>
        <v>-14.095078859857392</v>
      </c>
      <c r="BC59">
        <f t="shared" si="44"/>
        <v>0.28184999644864783</v>
      </c>
      <c r="BD59">
        <f t="shared" si="28"/>
        <v>-163.85118472926251</v>
      </c>
      <c r="BF59">
        <f t="shared" si="29"/>
        <v>13.578280166104618</v>
      </c>
      <c r="BG59">
        <f t="shared" si="30"/>
        <v>-82.192821057538382</v>
      </c>
      <c r="BH59">
        <f t="shared" si="45"/>
        <v>97.807178942461618</v>
      </c>
      <c r="BI59">
        <f t="shared" si="46"/>
        <v>97.807178942461618</v>
      </c>
      <c r="BJ59">
        <f t="shared" si="31"/>
        <v>0</v>
      </c>
      <c r="BK59">
        <f t="shared" si="47"/>
        <v>0</v>
      </c>
      <c r="BM59">
        <f t="shared" si="48"/>
        <v>27.673359025962007</v>
      </c>
      <c r="BN59">
        <f t="shared" si="32"/>
        <v>-98.341636328275868</v>
      </c>
      <c r="BQ59" s="56">
        <f t="shared" si="49"/>
        <v>2.806881940427747</v>
      </c>
      <c r="BR59" s="59"/>
      <c r="BS59" s="59"/>
      <c r="BT59" s="59">
        <v>309.02999999999997</v>
      </c>
      <c r="BU59" s="59">
        <v>24.825199999999999</v>
      </c>
      <c r="BV59" s="59">
        <v>-265.03610000000003</v>
      </c>
      <c r="BW59" s="61"/>
      <c r="BY59" s="59"/>
      <c r="BZ59" s="59"/>
      <c r="CA59" s="59"/>
      <c r="CC59" s="59"/>
    </row>
    <row r="60" spans="1:81" x14ac:dyDescent="0.2">
      <c r="A60">
        <f t="shared" si="54"/>
        <v>13000</v>
      </c>
      <c r="B60">
        <f t="shared" si="33"/>
        <v>13</v>
      </c>
      <c r="C60">
        <f t="shared" si="0"/>
        <v>1.0000333587063979</v>
      </c>
      <c r="D60">
        <f t="shared" si="1"/>
        <v>8.1679592418325009E-3</v>
      </c>
      <c r="F60">
        <f t="shared" si="2"/>
        <v>1.5064668347220722</v>
      </c>
      <c r="G60">
        <f t="shared" si="3"/>
        <v>1.2872038097648335</v>
      </c>
      <c r="H60">
        <f t="shared" si="4"/>
        <v>-1.8543888402351667</v>
      </c>
      <c r="J60">
        <f t="shared" si="5"/>
        <v>15</v>
      </c>
      <c r="M60">
        <f t="shared" si="6"/>
        <v>6.1366856862832622E-2</v>
      </c>
      <c r="N60">
        <f t="shared" si="7"/>
        <v>-1.5707963250000001</v>
      </c>
      <c r="O60">
        <f t="shared" si="8"/>
        <v>1.7781114221004362</v>
      </c>
      <c r="P60">
        <f t="shared" si="9"/>
        <v>0.97351756267042378</v>
      </c>
      <c r="Q60">
        <f t="shared" si="10"/>
        <v>1.8420775982868112</v>
      </c>
      <c r="R60">
        <f t="shared" si="11"/>
        <v>0.99695116651953641</v>
      </c>
      <c r="S60">
        <f t="shared" si="12"/>
        <v>0.99999476877489379</v>
      </c>
      <c r="T60">
        <f t="shared" si="13"/>
        <v>-3.2345725118650016E-3</v>
      </c>
      <c r="U60">
        <f t="shared" si="14"/>
        <v>0.99701936252063084</v>
      </c>
      <c r="V60">
        <f t="shared" si="15"/>
        <v>-7.7228483830467973E-2</v>
      </c>
      <c r="X60">
        <f t="shared" si="34"/>
        <v>13.119348292741728</v>
      </c>
      <c r="Y60">
        <f t="shared" si="16"/>
        <v>-87.491316217023623</v>
      </c>
      <c r="Z60">
        <f t="shared" si="35"/>
        <v>92.508683782976377</v>
      </c>
      <c r="AC60">
        <v>1</v>
      </c>
      <c r="AD60">
        <f t="shared" si="17"/>
        <v>1.4702653602000002</v>
      </c>
      <c r="AE60">
        <f t="shared" si="18"/>
        <v>-1.2009334607800203E-4</v>
      </c>
      <c r="AF60">
        <f t="shared" si="19"/>
        <v>1.5519467691000001E-3</v>
      </c>
      <c r="AG60">
        <f t="shared" si="36"/>
        <v>892.16461328005175</v>
      </c>
      <c r="AH60">
        <f t="shared" si="37"/>
        <v>-713.38982477036825</v>
      </c>
      <c r="AJ60">
        <f t="shared" si="20"/>
        <v>10500</v>
      </c>
      <c r="AK60">
        <f t="shared" si="21"/>
        <v>33.963129820620004</v>
      </c>
      <c r="AL60">
        <v>1</v>
      </c>
      <c r="AM60">
        <f t="shared" si="22"/>
        <v>1.5470132120024402</v>
      </c>
      <c r="AN60">
        <f t="shared" si="38"/>
        <v>3109.8627538832361</v>
      </c>
      <c r="AO60">
        <f t="shared" si="39"/>
        <v>-4777.0356379510395</v>
      </c>
      <c r="AQ60">
        <f t="shared" si="23"/>
        <v>14.771048744460856</v>
      </c>
      <c r="AR60">
        <f t="shared" si="24"/>
        <v>-384.04726735598229</v>
      </c>
      <c r="AT60">
        <f t="shared" si="52"/>
        <v>-260797.20577178028</v>
      </c>
      <c r="AU60">
        <f t="shared" si="53"/>
        <v>-353170.89763739606</v>
      </c>
      <c r="AV60">
        <f t="shared" si="42"/>
        <v>-2.2068609847286496</v>
      </c>
      <c r="AW60">
        <f t="shared" si="25"/>
        <v>-1784986.2106816361</v>
      </c>
      <c r="AX60">
        <f t="shared" si="26"/>
        <v>-1273626.7675047347</v>
      </c>
      <c r="AY60">
        <f t="shared" si="50"/>
        <v>-2.521849113701585</v>
      </c>
      <c r="BA60">
        <f t="shared" si="27"/>
        <v>0.20021452878262927</v>
      </c>
      <c r="BB60">
        <f t="shared" si="43"/>
        <v>-13.970088213339649</v>
      </c>
      <c r="BC60">
        <f t="shared" si="44"/>
        <v>0.31498812897293549</v>
      </c>
      <c r="BD60">
        <f t="shared" si="28"/>
        <v>-161.95250959250609</v>
      </c>
      <c r="BF60">
        <f t="shared" si="29"/>
        <v>13.111218213048305</v>
      </c>
      <c r="BG60">
        <f t="shared" si="30"/>
        <v>-87.733174243220788</v>
      </c>
      <c r="BH60">
        <f t="shared" si="45"/>
        <v>92.266825756779212</v>
      </c>
      <c r="BI60">
        <f t="shared" si="46"/>
        <v>92.266825756779212</v>
      </c>
      <c r="BJ60">
        <f t="shared" si="31"/>
        <v>0</v>
      </c>
      <c r="BK60">
        <f t="shared" si="47"/>
        <v>0</v>
      </c>
      <c r="BM60">
        <f t="shared" si="48"/>
        <v>27.081306426387954</v>
      </c>
      <c r="BN60">
        <f t="shared" si="32"/>
        <v>-105.78066465071471</v>
      </c>
      <c r="BQ60" s="56">
        <f t="shared" si="49"/>
        <v>2.931872586945488</v>
      </c>
      <c r="BR60" s="59"/>
      <c r="BS60" s="59"/>
      <c r="BT60" s="59">
        <v>316.22800000000001</v>
      </c>
      <c r="BU60" s="59">
        <v>24.722000000000001</v>
      </c>
      <c r="BV60" s="59">
        <v>-265.21839999999997</v>
      </c>
      <c r="BW60" s="61"/>
      <c r="BY60" s="59"/>
      <c r="BZ60" s="59"/>
      <c r="CA60" s="59"/>
      <c r="CC60" s="59"/>
    </row>
    <row r="61" spans="1:81" x14ac:dyDescent="0.2">
      <c r="A61">
        <f t="shared" si="54"/>
        <v>13500</v>
      </c>
      <c r="B61">
        <f t="shared" si="33"/>
        <v>13.5</v>
      </c>
      <c r="C61">
        <f t="shared" si="0"/>
        <v>1.0000359740608933</v>
      </c>
      <c r="D61">
        <f t="shared" si="1"/>
        <v>8.4820967316010434E-3</v>
      </c>
      <c r="F61">
        <f t="shared" si="2"/>
        <v>1.3913980990329635</v>
      </c>
      <c r="G61">
        <f t="shared" si="3"/>
        <v>1.1702010967698722</v>
      </c>
      <c r="H61">
        <f t="shared" si="4"/>
        <v>-1.971391553230128</v>
      </c>
      <c r="J61">
        <f t="shared" si="5"/>
        <v>15</v>
      </c>
      <c r="M61">
        <f t="shared" si="6"/>
        <v>5.9094010312357337E-2</v>
      </c>
      <c r="N61">
        <f t="shared" si="7"/>
        <v>-1.5707963250000001</v>
      </c>
      <c r="O61">
        <f t="shared" si="8"/>
        <v>1.8251468641707227</v>
      </c>
      <c r="P61">
        <f t="shared" si="9"/>
        <v>0.99094315574869329</v>
      </c>
      <c r="Q61">
        <f t="shared" si="10"/>
        <v>1.8923229991337873</v>
      </c>
      <c r="R61">
        <f t="shared" si="11"/>
        <v>1.0140213652719818</v>
      </c>
      <c r="S61">
        <f t="shared" si="12"/>
        <v>0.9999943586379344</v>
      </c>
      <c r="T61">
        <f t="shared" si="13"/>
        <v>-3.358978228502871E-3</v>
      </c>
      <c r="U61">
        <f t="shared" si="14"/>
        <v>0.99678679865962905</v>
      </c>
      <c r="V61">
        <f t="shared" si="15"/>
        <v>-8.0186327930541215E-2</v>
      </c>
      <c r="X61">
        <f t="shared" si="34"/>
        <v>12.559893267218607</v>
      </c>
      <c r="Y61">
        <f t="shared" si="16"/>
        <v>-92.377215739488463</v>
      </c>
      <c r="Z61">
        <f t="shared" si="35"/>
        <v>87.622784260511537</v>
      </c>
      <c r="AC61">
        <v>1</v>
      </c>
      <c r="AD61">
        <f t="shared" si="17"/>
        <v>1.5268140279</v>
      </c>
      <c r="AE61">
        <f t="shared" si="18"/>
        <v>-1.2950894865512347E-4</v>
      </c>
      <c r="AF61">
        <f t="shared" si="19"/>
        <v>1.6116370294500001E-3</v>
      </c>
      <c r="AG61">
        <f t="shared" si="36"/>
        <v>891.74845075402811</v>
      </c>
      <c r="AH61">
        <f t="shared" si="37"/>
        <v>-692.14679480445409</v>
      </c>
      <c r="AJ61">
        <f t="shared" si="20"/>
        <v>10500</v>
      </c>
      <c r="AK61">
        <f t="shared" si="21"/>
        <v>35.26940404449001</v>
      </c>
      <c r="AL61">
        <v>1</v>
      </c>
      <c r="AM61">
        <f t="shared" si="22"/>
        <v>1.6065137201563799</v>
      </c>
      <c r="AN61">
        <f t="shared" si="38"/>
        <v>2948.0580503390615</v>
      </c>
      <c r="AO61">
        <f t="shared" si="39"/>
        <v>-4700.8263016426799</v>
      </c>
      <c r="AQ61">
        <f t="shared" si="23"/>
        <v>13.698630136986301</v>
      </c>
      <c r="AR61">
        <f t="shared" si="24"/>
        <v>-369.86301369863014</v>
      </c>
      <c r="AT61">
        <f t="shared" si="52"/>
        <v>-243783.76724611278</v>
      </c>
      <c r="AU61">
        <f t="shared" si="53"/>
        <v>-339306.23239949608</v>
      </c>
      <c r="AV61">
        <f t="shared" si="42"/>
        <v>-2.1938157098977111</v>
      </c>
      <c r="AW61">
        <f t="shared" si="25"/>
        <v>-1694749.9872735401</v>
      </c>
      <c r="AX61">
        <f t="shared" si="26"/>
        <v>-1163281.7107488771</v>
      </c>
      <c r="AY61">
        <f t="shared" si="50"/>
        <v>-2.5400505071199366</v>
      </c>
      <c r="BA61">
        <f t="shared" si="27"/>
        <v>0.20325321195372678</v>
      </c>
      <c r="BB61">
        <f t="shared" si="43"/>
        <v>-13.839251652905906</v>
      </c>
      <c r="BC61">
        <f t="shared" si="44"/>
        <v>0.3462347972222255</v>
      </c>
      <c r="BD61">
        <f t="shared" si="28"/>
        <v>-160.16220737593062</v>
      </c>
      <c r="BF61">
        <f t="shared" si="29"/>
        <v>12.551914102845391</v>
      </c>
      <c r="BG61">
        <f t="shared" si="30"/>
        <v>-92.628634928126104</v>
      </c>
      <c r="BH61">
        <f t="shared" si="45"/>
        <v>87.371365071873896</v>
      </c>
      <c r="BI61">
        <f t="shared" si="46"/>
        <v>87.371365071873896</v>
      </c>
      <c r="BJ61">
        <f t="shared" si="31"/>
        <v>0</v>
      </c>
      <c r="BK61">
        <f t="shared" si="47"/>
        <v>0</v>
      </c>
      <c r="BM61">
        <f t="shared" si="48"/>
        <v>26.391165755751299</v>
      </c>
      <c r="BN61">
        <f t="shared" si="32"/>
        <v>-112.4664275521955</v>
      </c>
      <c r="BQ61" s="56">
        <f t="shared" si="49"/>
        <v>3.0627091473792318</v>
      </c>
      <c r="BR61" s="59"/>
      <c r="BS61" s="59"/>
      <c r="BT61" s="59">
        <v>323.59399999999999</v>
      </c>
      <c r="BU61" s="59">
        <v>24.5962</v>
      </c>
      <c r="BV61" s="59">
        <v>-266.99490000000003</v>
      </c>
      <c r="BW61" s="61"/>
      <c r="BY61" s="59"/>
      <c r="BZ61" s="59"/>
      <c r="CA61" s="59"/>
      <c r="CC61" s="59"/>
    </row>
    <row r="62" spans="1:81" x14ac:dyDescent="0.2">
      <c r="A62">
        <f t="shared" si="54"/>
        <v>14000</v>
      </c>
      <c r="B62">
        <f t="shared" si="33"/>
        <v>14</v>
      </c>
      <c r="C62">
        <f t="shared" si="0"/>
        <v>1.0000386881007792</v>
      </c>
      <c r="D62">
        <f t="shared" si="1"/>
        <v>8.7962325472717238E-3</v>
      </c>
      <c r="F62">
        <f t="shared" si="2"/>
        <v>1.2759958431706695</v>
      </c>
      <c r="G62">
        <f t="shared" si="3"/>
        <v>1.0669495149101496</v>
      </c>
      <c r="H62">
        <f t="shared" si="4"/>
        <v>-2.0746431350898504</v>
      </c>
      <c r="J62">
        <f t="shared" si="5"/>
        <v>15</v>
      </c>
      <c r="M62">
        <f t="shared" si="6"/>
        <v>5.698350994405886E-2</v>
      </c>
      <c r="N62">
        <f t="shared" si="7"/>
        <v>-1.5707963250000001</v>
      </c>
      <c r="O62">
        <f t="shared" si="8"/>
        <v>1.8727085800566243</v>
      </c>
      <c r="P62">
        <f t="shared" si="9"/>
        <v>1.0074884377986699</v>
      </c>
      <c r="Q62">
        <f t="shared" si="10"/>
        <v>1.9430911993348206</v>
      </c>
      <c r="R62">
        <f t="shared" si="11"/>
        <v>1.0302040725296451</v>
      </c>
      <c r="S62">
        <f t="shared" si="12"/>
        <v>0.99999393302464223</v>
      </c>
      <c r="T62">
        <f t="shared" si="13"/>
        <v>-3.4833838411680871E-3</v>
      </c>
      <c r="U62">
        <f t="shared" si="14"/>
        <v>0.99654563079177771</v>
      </c>
      <c r="V62">
        <f t="shared" si="15"/>
        <v>-8.3142766612891036E-2</v>
      </c>
      <c r="X62">
        <f t="shared" si="34"/>
        <v>11.943289126751624</v>
      </c>
      <c r="Y62">
        <f t="shared" si="16"/>
        <v>-96.576440672630852</v>
      </c>
      <c r="Z62">
        <f t="shared" si="35"/>
        <v>83.423559327369148</v>
      </c>
      <c r="AC62">
        <v>1</v>
      </c>
      <c r="AD62">
        <f t="shared" si="17"/>
        <v>1.5833626956000002</v>
      </c>
      <c r="AE62">
        <f t="shared" si="18"/>
        <v>-1.3927985698987215E-4</v>
      </c>
      <c r="AF62">
        <f t="shared" si="19"/>
        <v>1.6713272897999998E-3</v>
      </c>
      <c r="AG62">
        <f t="shared" si="36"/>
        <v>891.31699428548222</v>
      </c>
      <c r="AH62">
        <f t="shared" si="37"/>
        <v>-672.60464802872082</v>
      </c>
      <c r="AJ62">
        <f t="shared" si="20"/>
        <v>10500</v>
      </c>
      <c r="AK62">
        <f t="shared" si="21"/>
        <v>36.575678268360001</v>
      </c>
      <c r="AL62">
        <v>1</v>
      </c>
      <c r="AM62">
        <f t="shared" si="22"/>
        <v>1.6660142283103201</v>
      </c>
      <c r="AN62">
        <f t="shared" si="38"/>
        <v>2797.1517282296713</v>
      </c>
      <c r="AO62">
        <f t="shared" si="39"/>
        <v>-4623.5188997050736</v>
      </c>
      <c r="AQ62">
        <f t="shared" si="23"/>
        <v>12.738853503184714</v>
      </c>
      <c r="AR62">
        <f t="shared" si="24"/>
        <v>-356.68789808917199</v>
      </c>
      <c r="AT62">
        <f t="shared" si="52"/>
        <v>-228555.58153527009</v>
      </c>
      <c r="AU62">
        <f t="shared" si="53"/>
        <v>-326490.19729964621</v>
      </c>
      <c r="AV62">
        <f t="shared" si="42"/>
        <v>-2.1815478697246902</v>
      </c>
      <c r="AW62">
        <f t="shared" si="25"/>
        <v>-1610140.589012363</v>
      </c>
      <c r="AX62">
        <f t="shared" si="26"/>
        <v>-1064905.823170197</v>
      </c>
      <c r="AY62">
        <f t="shared" si="50"/>
        <v>-2.5572628569796469</v>
      </c>
      <c r="BA62">
        <f t="shared" si="27"/>
        <v>0.20645052883578141</v>
      </c>
      <c r="BB62">
        <f t="shared" si="43"/>
        <v>-13.703680006314276</v>
      </c>
      <c r="BC62">
        <f t="shared" si="44"/>
        <v>0.37571498725495678</v>
      </c>
      <c r="BD62">
        <f t="shared" si="28"/>
        <v>-158.4731169058814</v>
      </c>
      <c r="BF62">
        <f t="shared" si="29"/>
        <v>11.935466400478793</v>
      </c>
      <c r="BG62">
        <f t="shared" si="30"/>
        <v>-96.837425676995991</v>
      </c>
      <c r="BH62">
        <f t="shared" si="45"/>
        <v>83.162574323004009</v>
      </c>
      <c r="BI62">
        <f t="shared" si="46"/>
        <v>83.162574323004009</v>
      </c>
      <c r="BJ62">
        <f t="shared" si="31"/>
        <v>0</v>
      </c>
      <c r="BK62">
        <f t="shared" si="47"/>
        <v>0</v>
      </c>
      <c r="BM62">
        <f t="shared" si="48"/>
        <v>25.639146406793071</v>
      </c>
      <c r="BN62">
        <f t="shared" si="32"/>
        <v>-118.36430877111459</v>
      </c>
      <c r="BQ62" s="56">
        <f t="shared" si="49"/>
        <v>3.1982807939708602</v>
      </c>
      <c r="BR62" s="59"/>
      <c r="BS62" s="59"/>
      <c r="BT62" s="59">
        <v>331.13099999999997</v>
      </c>
      <c r="BU62" s="59">
        <v>24.386800000000001</v>
      </c>
      <c r="BV62" s="59">
        <v>-265.09339999999997</v>
      </c>
      <c r="BW62" s="61"/>
      <c r="BY62" s="59"/>
      <c r="BZ62" s="59"/>
      <c r="CA62" s="59"/>
      <c r="CC62" s="59"/>
    </row>
    <row r="63" spans="1:81" x14ac:dyDescent="0.2">
      <c r="A63">
        <f t="shared" si="54"/>
        <v>14500</v>
      </c>
      <c r="B63">
        <f t="shared" si="33"/>
        <v>14.5</v>
      </c>
      <c r="C63">
        <f t="shared" si="0"/>
        <v>1.0000415008252526</v>
      </c>
      <c r="D63">
        <f t="shared" si="1"/>
        <v>9.1103666268597654E-3</v>
      </c>
      <c r="F63">
        <f t="shared" si="2"/>
        <v>1.1658643747559274</v>
      </c>
      <c r="G63">
        <f t="shared" si="3"/>
        <v>0.97682368239979733</v>
      </c>
      <c r="H63">
        <f t="shared" si="4"/>
        <v>-2.1647689676002031</v>
      </c>
      <c r="J63">
        <f t="shared" si="5"/>
        <v>15</v>
      </c>
      <c r="M63">
        <f t="shared" si="6"/>
        <v>5.5018561325298213E-2</v>
      </c>
      <c r="N63">
        <f t="shared" si="7"/>
        <v>-1.5707963250000001</v>
      </c>
      <c r="O63">
        <f t="shared" si="8"/>
        <v>1.9207574754456807</v>
      </c>
      <c r="P63">
        <f t="shared" si="9"/>
        <v>1.0232100665183148</v>
      </c>
      <c r="Q63">
        <f t="shared" si="10"/>
        <v>1.9943422739728816</v>
      </c>
      <c r="R63">
        <f t="shared" si="11"/>
        <v>1.045558897161377</v>
      </c>
      <c r="S63">
        <f t="shared" si="12"/>
        <v>0.99999349193507658</v>
      </c>
      <c r="T63">
        <f t="shared" si="13"/>
        <v>-3.6077893460099942E-3</v>
      </c>
      <c r="U63">
        <f t="shared" si="14"/>
        <v>0.99629587780334561</v>
      </c>
      <c r="V63">
        <f t="shared" si="15"/>
        <v>-8.6097749234991125E-2</v>
      </c>
      <c r="X63">
        <f t="shared" si="34"/>
        <v>11.298485562069491</v>
      </c>
      <c r="Y63">
        <f t="shared" si="16"/>
        <v>-100.11815827154977</v>
      </c>
      <c r="Z63">
        <f t="shared" si="35"/>
        <v>79.881841728450226</v>
      </c>
      <c r="AC63">
        <v>1</v>
      </c>
      <c r="AD63">
        <f t="shared" si="17"/>
        <v>1.6399113633000002</v>
      </c>
      <c r="AE63">
        <f t="shared" si="18"/>
        <v>-1.4940607108224809E-4</v>
      </c>
      <c r="AF63">
        <f t="shared" si="19"/>
        <v>1.7310175501500001E-3</v>
      </c>
      <c r="AG63">
        <f t="shared" si="36"/>
        <v>890.87028882396748</v>
      </c>
      <c r="AH63">
        <f t="shared" si="37"/>
        <v>-654.58691022451421</v>
      </c>
      <c r="AJ63">
        <f t="shared" si="20"/>
        <v>10500</v>
      </c>
      <c r="AK63">
        <f t="shared" si="21"/>
        <v>37.881952492230006</v>
      </c>
      <c r="AL63">
        <v>1</v>
      </c>
      <c r="AM63">
        <f t="shared" si="22"/>
        <v>1.72551473646426</v>
      </c>
      <c r="AN63">
        <f t="shared" si="38"/>
        <v>2656.3491049427303</v>
      </c>
      <c r="AO63">
        <f t="shared" si="39"/>
        <v>-4545.6875732800981</v>
      </c>
      <c r="AQ63">
        <f t="shared" si="23"/>
        <v>11.876484560570072</v>
      </c>
      <c r="AR63">
        <f t="shared" si="24"/>
        <v>-344.41805225653206</v>
      </c>
      <c r="AT63">
        <f t="shared" si="52"/>
        <v>-214871.14142146014</v>
      </c>
      <c r="AU63">
        <f t="shared" si="53"/>
        <v>-314606.00102279778</v>
      </c>
      <c r="AV63">
        <f t="shared" si="42"/>
        <v>-2.1700112353069612</v>
      </c>
      <c r="AW63">
        <f t="shared" si="25"/>
        <v>-1530826.094174301</v>
      </c>
      <c r="AX63">
        <f t="shared" si="26"/>
        <v>-976975.86227969523</v>
      </c>
      <c r="AY63">
        <f t="shared" si="50"/>
        <v>-2.5735562346420453</v>
      </c>
      <c r="BA63">
        <f t="shared" si="27"/>
        <v>0.20978958547546805</v>
      </c>
      <c r="BB63">
        <f t="shared" si="43"/>
        <v>-13.56432150328776</v>
      </c>
      <c r="BC63">
        <f t="shared" si="44"/>
        <v>0.40354499933508414</v>
      </c>
      <c r="BD63">
        <f t="shared" si="28"/>
        <v>-156.87857466806997</v>
      </c>
      <c r="BF63">
        <f t="shared" si="29"/>
        <v>11.290824777821616</v>
      </c>
      <c r="BG63">
        <f t="shared" si="30"/>
        <v>-100.38871471604908</v>
      </c>
      <c r="BH63">
        <f t="shared" si="45"/>
        <v>79.61128528395092</v>
      </c>
      <c r="BI63">
        <f t="shared" si="46"/>
        <v>79.61128528395092</v>
      </c>
      <c r="BJ63">
        <f t="shared" si="31"/>
        <v>0</v>
      </c>
      <c r="BK63">
        <f t="shared" si="47"/>
        <v>0</v>
      </c>
      <c r="BM63">
        <f t="shared" si="48"/>
        <v>24.855146281109374</v>
      </c>
      <c r="BN63">
        <f t="shared" si="32"/>
        <v>-123.51014004797911</v>
      </c>
      <c r="BQ63" s="56">
        <f t="shared" si="49"/>
        <v>3.337639296997378</v>
      </c>
      <c r="BR63" s="59"/>
      <c r="BS63" s="59"/>
      <c r="BT63" s="59">
        <v>338.84399999999999</v>
      </c>
      <c r="BU63" s="59">
        <v>24.136900000000001</v>
      </c>
      <c r="BV63" s="59">
        <v>-266.42009999999999</v>
      </c>
      <c r="BW63" s="61"/>
      <c r="BY63" s="59"/>
      <c r="BZ63" s="59"/>
      <c r="CA63" s="59"/>
      <c r="CC63" s="59"/>
    </row>
    <row r="64" spans="1:81" x14ac:dyDescent="0.2">
      <c r="A64">
        <f t="shared" si="54"/>
        <v>15000</v>
      </c>
      <c r="B64">
        <f t="shared" si="33"/>
        <v>15</v>
      </c>
      <c r="C64">
        <f t="shared" si="0"/>
        <v>1.0000444122334802</v>
      </c>
      <c r="D64">
        <f t="shared" si="1"/>
        <v>9.4244989083824473E-3</v>
      </c>
      <c r="F64">
        <f t="shared" si="2"/>
        <v>1.0640348200273719</v>
      </c>
      <c r="G64">
        <f t="shared" si="3"/>
        <v>0.89854522685660443</v>
      </c>
      <c r="H64">
        <f t="shared" si="4"/>
        <v>-2.2430474231433957</v>
      </c>
      <c r="J64">
        <f t="shared" si="5"/>
        <v>15</v>
      </c>
      <c r="M64">
        <f t="shared" si="6"/>
        <v>5.3184609281121606E-2</v>
      </c>
      <c r="N64">
        <f t="shared" si="7"/>
        <v>-1.5707963250000001</v>
      </c>
      <c r="O64">
        <f t="shared" si="8"/>
        <v>1.9692578898611832</v>
      </c>
      <c r="P64">
        <f t="shared" si="9"/>
        <v>1.0381608320444728</v>
      </c>
      <c r="Q64">
        <f t="shared" si="10"/>
        <v>2.0460399369316749</v>
      </c>
      <c r="R64">
        <f t="shared" si="11"/>
        <v>1.060141070777769</v>
      </c>
      <c r="S64">
        <f t="shared" si="12"/>
        <v>0.99999303536929884</v>
      </c>
      <c r="T64">
        <f t="shared" si="13"/>
        <v>-3.7321947391779574E-3</v>
      </c>
      <c r="U64">
        <f t="shared" si="14"/>
        <v>0.99603755922716708</v>
      </c>
      <c r="V64">
        <f t="shared" si="15"/>
        <v>-8.9051225305896417E-2</v>
      </c>
      <c r="X64">
        <f t="shared" si="34"/>
        <v>10.646835025729109</v>
      </c>
      <c r="Y64">
        <f t="shared" si="16"/>
        <v>-103.0694217986575</v>
      </c>
      <c r="Z64">
        <f t="shared" si="35"/>
        <v>76.930578201342499</v>
      </c>
      <c r="AC64">
        <v>1</v>
      </c>
      <c r="AD64">
        <f t="shared" si="17"/>
        <v>1.6964600310000002</v>
      </c>
      <c r="AE64">
        <f t="shared" si="18"/>
        <v>-1.5988759093225118E-4</v>
      </c>
      <c r="AF64">
        <f t="shared" si="19"/>
        <v>1.7907078105000001E-3</v>
      </c>
      <c r="AG64">
        <f t="shared" si="36"/>
        <v>890.40838083865037</v>
      </c>
      <c r="AH64">
        <f t="shared" si="37"/>
        <v>-637.9406200496818</v>
      </c>
      <c r="AJ64">
        <f t="shared" si="20"/>
        <v>10500</v>
      </c>
      <c r="AK64">
        <f t="shared" si="21"/>
        <v>39.188226716100004</v>
      </c>
      <c r="AL64">
        <v>1</v>
      </c>
      <c r="AM64">
        <f t="shared" si="22"/>
        <v>1.7850152446182002</v>
      </c>
      <c r="AN64">
        <f t="shared" si="38"/>
        <v>2524.9035032668016</v>
      </c>
      <c r="AO64">
        <f t="shared" si="39"/>
        <v>-4467.8030178050403</v>
      </c>
      <c r="AQ64">
        <f t="shared" si="23"/>
        <v>11.098779134295228</v>
      </c>
      <c r="AR64">
        <f t="shared" si="24"/>
        <v>-332.96337402885683</v>
      </c>
      <c r="AT64">
        <f t="shared" si="52"/>
        <v>-202528.41532354945</v>
      </c>
      <c r="AU64">
        <f t="shared" si="53"/>
        <v>-303553.74079033511</v>
      </c>
      <c r="AV64">
        <f t="shared" si="42"/>
        <v>-2.1591620509729696</v>
      </c>
      <c r="AW64">
        <f t="shared" si="25"/>
        <v>-1456477.1079960633</v>
      </c>
      <c r="AX64">
        <f t="shared" si="26"/>
        <v>-898187.74597172032</v>
      </c>
      <c r="AY64">
        <f t="shared" si="50"/>
        <v>-2.5889949411582314</v>
      </c>
      <c r="BA64">
        <f t="shared" si="27"/>
        <v>0.21325572380918195</v>
      </c>
      <c r="BB64">
        <f t="shared" si="43"/>
        <v>-13.421986069761374</v>
      </c>
      <c r="BC64">
        <f t="shared" si="44"/>
        <v>0.42983289018526172</v>
      </c>
      <c r="BD64">
        <f t="shared" si="28"/>
        <v>-155.37238946833318</v>
      </c>
      <c r="BF64">
        <f t="shared" si="29"/>
        <v>10.63934166793433</v>
      </c>
      <c r="BG64">
        <f t="shared" si="30"/>
        <v>-103.3495561969039</v>
      </c>
      <c r="BH64">
        <f t="shared" si="45"/>
        <v>76.650443803096096</v>
      </c>
      <c r="BI64">
        <f t="shared" si="46"/>
        <v>76.650443803096096</v>
      </c>
      <c r="BJ64">
        <f t="shared" si="31"/>
        <v>0</v>
      </c>
      <c r="BK64">
        <f t="shared" si="47"/>
        <v>0</v>
      </c>
      <c r="BM64">
        <f t="shared" si="48"/>
        <v>24.061327737695706</v>
      </c>
      <c r="BN64">
        <f t="shared" si="32"/>
        <v>-127.97716672857075</v>
      </c>
      <c r="BQ64" s="56">
        <f t="shared" si="49"/>
        <v>3.4799747305237636</v>
      </c>
      <c r="BR64" s="59"/>
      <c r="BS64" s="59"/>
      <c r="BT64" s="59">
        <v>346.73700000000002</v>
      </c>
      <c r="BU64" s="59">
        <v>24.040400000000002</v>
      </c>
      <c r="BV64" s="59">
        <v>-265.87940000000003</v>
      </c>
      <c r="BW64" s="61"/>
      <c r="BY64" s="59"/>
      <c r="BZ64" s="59"/>
      <c r="CA64" s="59"/>
      <c r="CC64" s="59"/>
    </row>
    <row r="65" spans="1:81" x14ac:dyDescent="0.2">
      <c r="A65">
        <f t="shared" si="54"/>
        <v>15500</v>
      </c>
      <c r="B65">
        <f t="shared" si="33"/>
        <v>15.5</v>
      </c>
      <c r="C65">
        <f t="shared" si="0"/>
        <v>1.0000474223246003</v>
      </c>
      <c r="D65">
        <f t="shared" si="1"/>
        <v>9.7386293298591751E-3</v>
      </c>
      <c r="F65">
        <f t="shared" si="2"/>
        <v>0.97169710237521234</v>
      </c>
      <c r="G65">
        <f t="shared" si="3"/>
        <v>0.8306057897402076</v>
      </c>
      <c r="H65">
        <f t="shared" si="4"/>
        <v>-2.3109868602597925</v>
      </c>
      <c r="J65">
        <f t="shared" si="5"/>
        <v>15</v>
      </c>
      <c r="M65">
        <f t="shared" si="6"/>
        <v>5.1468976723666071E-2</v>
      </c>
      <c r="N65">
        <f t="shared" si="7"/>
        <v>-1.5707963250000001</v>
      </c>
      <c r="O65">
        <f t="shared" si="8"/>
        <v>2.0181772711330059</v>
      </c>
      <c r="P65">
        <f t="shared" si="9"/>
        <v>1.0523898565510639</v>
      </c>
      <c r="Q65">
        <f t="shared" si="10"/>
        <v>2.0981511771615922</v>
      </c>
      <c r="R65">
        <f t="shared" si="11"/>
        <v>1.0740017239732924</v>
      </c>
      <c r="S65">
        <f t="shared" si="12"/>
        <v>0.99999256332737263</v>
      </c>
      <c r="T65">
        <f t="shared" si="13"/>
        <v>-3.8566000168213615E-3</v>
      </c>
      <c r="U65">
        <f t="shared" si="14"/>
        <v>0.99577069523843864</v>
      </c>
      <c r="V65">
        <f t="shared" si="15"/>
        <v>-9.2003144491262526E-2</v>
      </c>
      <c r="X65">
        <f t="shared" si="34"/>
        <v>10.002809894025962</v>
      </c>
      <c r="Y65">
        <f t="shared" si="16"/>
        <v>-105.51090689127342</v>
      </c>
      <c r="Z65">
        <f t="shared" si="35"/>
        <v>74.489093108726578</v>
      </c>
      <c r="AC65">
        <v>1</v>
      </c>
      <c r="AD65">
        <f t="shared" si="17"/>
        <v>1.7530086987000002</v>
      </c>
      <c r="AE65">
        <f t="shared" si="18"/>
        <v>-1.7072441653988158E-4</v>
      </c>
      <c r="AF65">
        <f t="shared" si="19"/>
        <v>1.8503980708499998E-3</v>
      </c>
      <c r="AG65">
        <f t="shared" si="36"/>
        <v>889.93131830633945</v>
      </c>
      <c r="AH65">
        <f t="shared" si="37"/>
        <v>-622.53253676883958</v>
      </c>
      <c r="AJ65">
        <f t="shared" si="20"/>
        <v>10500</v>
      </c>
      <c r="AK65">
        <f t="shared" si="21"/>
        <v>40.494500939970003</v>
      </c>
      <c r="AL65">
        <v>1</v>
      </c>
      <c r="AM65">
        <f t="shared" si="22"/>
        <v>1.8445157527721401</v>
      </c>
      <c r="AN65">
        <f t="shared" si="38"/>
        <v>2402.1172582623926</v>
      </c>
      <c r="AO65">
        <f t="shared" si="39"/>
        <v>-4390.2486219308366</v>
      </c>
      <c r="AQ65">
        <f t="shared" si="23"/>
        <v>10.395010395010395</v>
      </c>
      <c r="AR65">
        <f t="shared" si="24"/>
        <v>-322.24532224532226</v>
      </c>
      <c r="AT65">
        <f t="shared" si="52"/>
        <v>-191357.35261463295</v>
      </c>
      <c r="AU65">
        <f t="shared" si="53"/>
        <v>-293247.43663477508</v>
      </c>
      <c r="AV65">
        <f t="shared" si="42"/>
        <v>-2.1489590590947376</v>
      </c>
      <c r="AW65">
        <f t="shared" si="25"/>
        <v>-1386772.6760815866</v>
      </c>
      <c r="AX65">
        <f t="shared" si="26"/>
        <v>-827421.71912727028</v>
      </c>
      <c r="AY65">
        <f t="shared" si="50"/>
        <v>-2.6036380076924495</v>
      </c>
      <c r="BA65">
        <f t="shared" si="27"/>
        <v>0.21683616110552337</v>
      </c>
      <c r="BB65">
        <f t="shared" si="43"/>
        <v>-13.277365802542571</v>
      </c>
      <c r="BC65">
        <f t="shared" si="44"/>
        <v>0.45467894859771185</v>
      </c>
      <c r="BD65">
        <f t="shared" si="28"/>
        <v>-153.94881518213759</v>
      </c>
      <c r="BF65">
        <f t="shared" si="29"/>
        <v>9.9954894269801944</v>
      </c>
      <c r="BG65">
        <f t="shared" si="30"/>
        <v>-105.80062657703245</v>
      </c>
      <c r="BH65">
        <f t="shared" si="45"/>
        <v>74.199373422967554</v>
      </c>
      <c r="BI65">
        <f t="shared" si="46"/>
        <v>74.199373422967554</v>
      </c>
      <c r="BJ65">
        <f t="shared" si="31"/>
        <v>0</v>
      </c>
      <c r="BK65">
        <f t="shared" si="47"/>
        <v>0</v>
      </c>
      <c r="BM65">
        <f t="shared" si="48"/>
        <v>23.272855229522765</v>
      </c>
      <c r="BN65">
        <f t="shared" si="32"/>
        <v>-131.85181139489487</v>
      </c>
      <c r="BQ65" s="56">
        <f t="shared" si="49"/>
        <v>3.624594997742566</v>
      </c>
      <c r="BR65" s="59"/>
      <c r="BS65" s="59"/>
      <c r="BT65" s="59">
        <v>354.81299999999999</v>
      </c>
      <c r="BU65" s="59">
        <v>23.629000000000001</v>
      </c>
      <c r="BV65" s="59">
        <v>-265.95490000000001</v>
      </c>
      <c r="BW65" s="61"/>
      <c r="BY65" s="59"/>
      <c r="BZ65" s="59"/>
      <c r="CA65" s="59"/>
      <c r="CC65" s="59"/>
    </row>
    <row r="66" spans="1:81" x14ac:dyDescent="0.2">
      <c r="A66">
        <f t="shared" si="54"/>
        <v>16000</v>
      </c>
      <c r="B66">
        <f t="shared" si="33"/>
        <v>16</v>
      </c>
      <c r="C66">
        <f t="shared" si="0"/>
        <v>1.0000505310977221</v>
      </c>
      <c r="D66">
        <f t="shared" si="1"/>
        <v>1.0052757829311559E-2</v>
      </c>
      <c r="F66">
        <f t="shared" si="2"/>
        <v>0.88891012599513419</v>
      </c>
      <c r="G66">
        <f t="shared" si="3"/>
        <v>0.77151620809001975</v>
      </c>
      <c r="H66">
        <f t="shared" si="4"/>
        <v>-2.3700764419099807</v>
      </c>
      <c r="J66">
        <f t="shared" si="5"/>
        <v>15</v>
      </c>
      <c r="M66">
        <f t="shared" si="6"/>
        <v>4.9860571201051508E-2</v>
      </c>
      <c r="N66">
        <f t="shared" si="7"/>
        <v>-1.5707963250000001</v>
      </c>
      <c r="O66">
        <f t="shared" si="8"/>
        <v>2.0674858795872106</v>
      </c>
      <c r="P66">
        <f t="shared" si="9"/>
        <v>1.0659428057310878</v>
      </c>
      <c r="Q66">
        <f t="shared" si="10"/>
        <v>2.1506459313124813</v>
      </c>
      <c r="R66">
        <f t="shared" si="11"/>
        <v>1.0871881640956311</v>
      </c>
      <c r="S66">
        <f t="shared" si="12"/>
        <v>0.99999207580936345</v>
      </c>
      <c r="T66">
        <f t="shared" si="13"/>
        <v>-3.9810051750896139E-3</v>
      </c>
      <c r="U66">
        <f t="shared" si="14"/>
        <v>0.99549530665038877</v>
      </c>
      <c r="V66">
        <f t="shared" si="15"/>
        <v>-9.495345661832498E-2</v>
      </c>
      <c r="X66">
        <f t="shared" si="34"/>
        <v>9.3755110224197029</v>
      </c>
      <c r="Y66">
        <f t="shared" si="16"/>
        <v>-107.52260646794093</v>
      </c>
      <c r="Z66">
        <f t="shared" si="35"/>
        <v>72.477393532059068</v>
      </c>
      <c r="AC66">
        <v>1</v>
      </c>
      <c r="AD66">
        <f t="shared" si="17"/>
        <v>1.8095573664000004</v>
      </c>
      <c r="AE66">
        <f t="shared" si="18"/>
        <v>-1.8191654790513913E-4</v>
      </c>
      <c r="AF66">
        <f t="shared" si="19"/>
        <v>1.9100883311999998E-3</v>
      </c>
      <c r="AG66">
        <f t="shared" si="36"/>
        <v>889.43915069915909</v>
      </c>
      <c r="AH66">
        <f t="shared" si="37"/>
        <v>-608.24605903799988</v>
      </c>
      <c r="AJ66">
        <f t="shared" si="20"/>
        <v>10500</v>
      </c>
      <c r="AK66">
        <f t="shared" si="21"/>
        <v>41.800775163840001</v>
      </c>
      <c r="AL66">
        <v>1</v>
      </c>
      <c r="AM66">
        <f t="shared" si="22"/>
        <v>1.9040162609260802</v>
      </c>
      <c r="AN66">
        <f t="shared" si="38"/>
        <v>2287.3413304755118</v>
      </c>
      <c r="AO66">
        <f t="shared" si="39"/>
        <v>-4313.3343123498298</v>
      </c>
      <c r="AQ66">
        <f t="shared" si="23"/>
        <v>9.7560975609756095</v>
      </c>
      <c r="AR66">
        <f t="shared" si="24"/>
        <v>-312.19512195121951</v>
      </c>
      <c r="AT66">
        <f t="shared" si="52"/>
        <v>-181213.99744894475</v>
      </c>
      <c r="AU66">
        <f t="shared" si="53"/>
        <v>-283612.67201376677</v>
      </c>
      <c r="AV66">
        <f t="shared" si="42"/>
        <v>-2.1393634710467619</v>
      </c>
      <c r="AW66">
        <f t="shared" si="25"/>
        <v>-1321404.1848371208</v>
      </c>
      <c r="AX66">
        <f t="shared" si="26"/>
        <v>-763713.55372634076</v>
      </c>
      <c r="AY66">
        <f t="shared" si="50"/>
        <v>-2.6175396555451558</v>
      </c>
      <c r="BA66">
        <f t="shared" si="27"/>
        <v>0.22051969702429258</v>
      </c>
      <c r="BB66">
        <f t="shared" si="43"/>
        <v>-13.131052257536513</v>
      </c>
      <c r="BC66">
        <f t="shared" si="44"/>
        <v>0.47817618449839383</v>
      </c>
      <c r="BD66">
        <f t="shared" si="28"/>
        <v>-152.60252273326688</v>
      </c>
      <c r="BF66">
        <f t="shared" si="29"/>
        <v>9.3683688896559563</v>
      </c>
      <c r="BG66">
        <f t="shared" si="30"/>
        <v>-107.82191953651581</v>
      </c>
      <c r="BH66">
        <f t="shared" si="45"/>
        <v>72.178080463484193</v>
      </c>
      <c r="BI66">
        <f t="shared" si="46"/>
        <v>72.178080463484193</v>
      </c>
      <c r="BJ66">
        <f t="shared" si="31"/>
        <v>0</v>
      </c>
      <c r="BK66">
        <f t="shared" si="47"/>
        <v>0</v>
      </c>
      <c r="BM66">
        <f t="shared" si="48"/>
        <v>22.499421147192468</v>
      </c>
      <c r="BN66">
        <f t="shared" si="32"/>
        <v>-135.21939680324894</v>
      </c>
      <c r="BQ66" s="56">
        <f t="shared" si="49"/>
        <v>3.7709085427486229</v>
      </c>
      <c r="BR66" s="59"/>
      <c r="BS66" s="59"/>
      <c r="BT66" s="59">
        <v>363.07799999999997</v>
      </c>
      <c r="BU66" s="59">
        <v>23.6126</v>
      </c>
      <c r="BV66" s="59">
        <v>-265.39159999999998</v>
      </c>
      <c r="BW66" s="61"/>
      <c r="BY66" s="59"/>
      <c r="BZ66" s="59"/>
      <c r="CA66" s="59"/>
      <c r="CC66" s="59"/>
    </row>
    <row r="67" spans="1:81" x14ac:dyDescent="0.2">
      <c r="A67">
        <f t="shared" si="54"/>
        <v>16500</v>
      </c>
      <c r="B67">
        <f t="shared" si="33"/>
        <v>16.5</v>
      </c>
      <c r="C67">
        <f t="shared" si="0"/>
        <v>1.0000537385519253</v>
      </c>
      <c r="D67">
        <f t="shared" si="1"/>
        <v>1.0366884344763483E-2</v>
      </c>
      <c r="F67">
        <f t="shared" si="2"/>
        <v>0.81512579920376871</v>
      </c>
      <c r="G67">
        <f t="shared" si="3"/>
        <v>0.71992642934643969</v>
      </c>
      <c r="H67">
        <f t="shared" si="4"/>
        <v>-2.4216662206535604</v>
      </c>
      <c r="J67">
        <f t="shared" si="5"/>
        <v>15</v>
      </c>
      <c r="M67">
        <f t="shared" si="6"/>
        <v>4.8349644801019644E-2</v>
      </c>
      <c r="N67">
        <f t="shared" si="7"/>
        <v>-1.5707963250000001</v>
      </c>
      <c r="O67">
        <f t="shared" si="8"/>
        <v>2.1171565200769709</v>
      </c>
      <c r="P67">
        <f t="shared" si="9"/>
        <v>1.0788621044524151</v>
      </c>
      <c r="Q67">
        <f t="shared" si="10"/>
        <v>2.2034967897545124</v>
      </c>
      <c r="R67">
        <f t="shared" si="11"/>
        <v>1.0997441479100722</v>
      </c>
      <c r="S67">
        <f t="shared" si="12"/>
        <v>0.99999157281533968</v>
      </c>
      <c r="T67">
        <f t="shared" si="13"/>
        <v>-4.105410210132142E-3</v>
      </c>
      <c r="U67">
        <f t="shared" si="14"/>
        <v>0.99521141490981846</v>
      </c>
      <c r="V67">
        <f t="shared" si="15"/>
        <v>-9.7902111680836984E-2</v>
      </c>
      <c r="X67">
        <f t="shared" si="34"/>
        <v>8.770192018753221</v>
      </c>
      <c r="Y67">
        <f t="shared" si="16"/>
        <v>-109.17693213686063</v>
      </c>
      <c r="Z67">
        <f t="shared" si="35"/>
        <v>70.823067863139372</v>
      </c>
      <c r="AC67">
        <v>1</v>
      </c>
      <c r="AD67">
        <f t="shared" si="17"/>
        <v>1.8661060341</v>
      </c>
      <c r="AE67">
        <f t="shared" si="18"/>
        <v>-1.9346398502802397E-4</v>
      </c>
      <c r="AF67">
        <f t="shared" si="19"/>
        <v>1.9697785915500001E-3</v>
      </c>
      <c r="AG67">
        <f t="shared" si="36"/>
        <v>888.93192897186736</v>
      </c>
      <c r="AH67">
        <f t="shared" si="37"/>
        <v>-594.97870391378797</v>
      </c>
      <c r="AJ67">
        <f t="shared" si="20"/>
        <v>10500</v>
      </c>
      <c r="AK67">
        <f t="shared" si="21"/>
        <v>43.107049387710006</v>
      </c>
      <c r="AL67">
        <v>1</v>
      </c>
      <c r="AM67">
        <f t="shared" si="22"/>
        <v>1.9635167690800202</v>
      </c>
      <c r="AN67">
        <f t="shared" si="38"/>
        <v>2179.9739570230076</v>
      </c>
      <c r="AO67">
        <f t="shared" si="39"/>
        <v>-4237.3083713846918</v>
      </c>
      <c r="AQ67">
        <f t="shared" si="23"/>
        <v>9.1743119266055047</v>
      </c>
      <c r="AR67">
        <f t="shared" si="24"/>
        <v>-302.75229357798167</v>
      </c>
      <c r="AT67">
        <f t="shared" si="52"/>
        <v>-171975.82844204712</v>
      </c>
      <c r="AU67">
        <f t="shared" si="53"/>
        <v>-274584.70055032487</v>
      </c>
      <c r="AV67">
        <f t="shared" si="42"/>
        <v>-2.13033890089944</v>
      </c>
      <c r="AW67">
        <f t="shared" si="25"/>
        <v>-1260077.7909683795</v>
      </c>
      <c r="AX67">
        <f t="shared" si="26"/>
        <v>-706230.64962445199</v>
      </c>
      <c r="AY67">
        <f t="shared" si="50"/>
        <v>-2.6307497180128068</v>
      </c>
      <c r="BA67">
        <f t="shared" si="27"/>
        <v>0.22429647394643107</v>
      </c>
      <c r="BB67">
        <f t="shared" si="43"/>
        <v>-12.983551073828348</v>
      </c>
      <c r="BC67">
        <f t="shared" si="44"/>
        <v>0.50041081711336677</v>
      </c>
      <c r="BD67">
        <f t="shared" si="28"/>
        <v>-151.3285721239493</v>
      </c>
      <c r="BF67">
        <f t="shared" si="29"/>
        <v>8.7632336424161146</v>
      </c>
      <c r="BG67">
        <f t="shared" si="30"/>
        <v>-109.48584739500755</v>
      </c>
      <c r="BH67">
        <f t="shared" si="45"/>
        <v>70.514152604992447</v>
      </c>
      <c r="BI67">
        <f t="shared" si="46"/>
        <v>70.514152604992447</v>
      </c>
      <c r="BJ67">
        <f t="shared" si="31"/>
        <v>0</v>
      </c>
      <c r="BK67">
        <f t="shared" si="47"/>
        <v>0</v>
      </c>
      <c r="BM67">
        <f t="shared" si="48"/>
        <v>21.746784716244463</v>
      </c>
      <c r="BN67">
        <f t="shared" si="32"/>
        <v>-138.15727527105827</v>
      </c>
      <c r="BQ67" s="56">
        <f t="shared" si="49"/>
        <v>3.918409726456789</v>
      </c>
      <c r="BR67" s="59"/>
      <c r="BS67" s="59"/>
      <c r="BT67" s="59">
        <v>371.53500000000003</v>
      </c>
      <c r="BU67" s="59">
        <v>23.315999999999999</v>
      </c>
      <c r="BV67" s="59">
        <v>-265.2439</v>
      </c>
      <c r="BW67" s="61"/>
      <c r="BY67" s="59"/>
      <c r="BZ67" s="59"/>
      <c r="CA67" s="59"/>
      <c r="CC67" s="59"/>
    </row>
    <row r="68" spans="1:81" x14ac:dyDescent="0.2">
      <c r="A68">
        <f t="shared" si="54"/>
        <v>17000</v>
      </c>
      <c r="B68">
        <f t="shared" si="33"/>
        <v>17</v>
      </c>
      <c r="C68">
        <f t="shared" si="0"/>
        <v>1.0000570446862598</v>
      </c>
      <c r="D68">
        <f t="shared" si="1"/>
        <v>1.068100881424118E-2</v>
      </c>
      <c r="F68">
        <f t="shared" si="2"/>
        <v>0.74952354081563877</v>
      </c>
      <c r="G68">
        <f t="shared" si="3"/>
        <v>0.67466720554131365</v>
      </c>
      <c r="H68">
        <f t="shared" si="4"/>
        <v>-2.4669254444586866</v>
      </c>
      <c r="J68">
        <f t="shared" si="5"/>
        <v>15</v>
      </c>
      <c r="M68">
        <f t="shared" si="6"/>
        <v>4.6927596424519054E-2</v>
      </c>
      <c r="N68">
        <f t="shared" si="7"/>
        <v>-1.5707963250000001</v>
      </c>
      <c r="O68">
        <f t="shared" si="8"/>
        <v>2.1671642998060037</v>
      </c>
      <c r="P68">
        <f t="shared" si="9"/>
        <v>1.0911871510118298</v>
      </c>
      <c r="Q68">
        <f t="shared" si="10"/>
        <v>2.2566787330027962</v>
      </c>
      <c r="R68">
        <f t="shared" si="11"/>
        <v>1.1117101446626698</v>
      </c>
      <c r="S68">
        <f t="shared" si="12"/>
        <v>0.99999105434537083</v>
      </c>
      <c r="T68">
        <f t="shared" si="13"/>
        <v>-4.2298151180983996E-3</v>
      </c>
      <c r="U68">
        <f t="shared" si="14"/>
        <v>0.99491904209251703</v>
      </c>
      <c r="V68">
        <f t="shared" si="15"/>
        <v>-0.1008490598439644</v>
      </c>
      <c r="X68">
        <f t="shared" si="34"/>
        <v>8.1895010566239872</v>
      </c>
      <c r="Y68">
        <f t="shared" si="16"/>
        <v>-110.53629794676326</v>
      </c>
      <c r="Z68">
        <f t="shared" si="35"/>
        <v>69.463702053236744</v>
      </c>
      <c r="AC68">
        <v>1</v>
      </c>
      <c r="AD68">
        <f t="shared" si="17"/>
        <v>1.9226547018000002</v>
      </c>
      <c r="AE68">
        <f t="shared" si="18"/>
        <v>-2.05366727908536E-4</v>
      </c>
      <c r="AF68">
        <f t="shared" si="19"/>
        <v>2.0294688519000002E-3</v>
      </c>
      <c r="AG68">
        <f t="shared" si="36"/>
        <v>888.40970554882699</v>
      </c>
      <c r="AH68">
        <f t="shared" si="37"/>
        <v>-582.64003074682932</v>
      </c>
      <c r="AJ68">
        <f t="shared" si="20"/>
        <v>10500</v>
      </c>
      <c r="AK68">
        <f t="shared" si="21"/>
        <v>44.413323611580005</v>
      </c>
      <c r="AL68">
        <v>1</v>
      </c>
      <c r="AM68">
        <f t="shared" si="22"/>
        <v>2.0230172772339601</v>
      </c>
      <c r="AN68">
        <f t="shared" si="38"/>
        <v>2079.4586655380594</v>
      </c>
      <c r="AO68">
        <f t="shared" si="39"/>
        <v>-4162.3674840657895</v>
      </c>
      <c r="AQ68">
        <f t="shared" si="23"/>
        <v>8.6430423509075194</v>
      </c>
      <c r="AR68">
        <f t="shared" si="24"/>
        <v>-293.86343993085563</v>
      </c>
      <c r="AT68">
        <f t="shared" si="52"/>
        <v>-163538.04096666694</v>
      </c>
      <c r="AU68">
        <f t="shared" si="53"/>
        <v>-266106.91460161575</v>
      </c>
      <c r="AV68">
        <f t="shared" si="42"/>
        <v>-2.1218512742179225</v>
      </c>
      <c r="AW68">
        <f t="shared" si="25"/>
        <v>-1202515.784768692</v>
      </c>
      <c r="AX68">
        <f t="shared" si="26"/>
        <v>-654252.13437453972</v>
      </c>
      <c r="AY68">
        <f t="shared" si="50"/>
        <v>-2.6433140263765758</v>
      </c>
      <c r="BA68">
        <f t="shared" si="27"/>
        <v>0.2281577796053765</v>
      </c>
      <c r="BB68">
        <f t="shared" si="43"/>
        <v>-12.835294365826915</v>
      </c>
      <c r="BC68">
        <f t="shared" si="44"/>
        <v>0.52146275215865323</v>
      </c>
      <c r="BD68">
        <f t="shared" si="28"/>
        <v>-150.12238509389255</v>
      </c>
      <c r="BF68">
        <f t="shared" si="29"/>
        <v>8.1827318368496922</v>
      </c>
      <c r="BG68">
        <f t="shared" si="30"/>
        <v>-110.85482486962226</v>
      </c>
      <c r="BH68">
        <f t="shared" si="45"/>
        <v>69.145175130377737</v>
      </c>
      <c r="BI68">
        <f t="shared" si="46"/>
        <v>69.145175130377737</v>
      </c>
      <c r="BJ68">
        <f t="shared" si="31"/>
        <v>0</v>
      </c>
      <c r="BK68">
        <f t="shared" si="47"/>
        <v>0</v>
      </c>
      <c r="BM68">
        <f t="shared" si="48"/>
        <v>21.018026202676605</v>
      </c>
      <c r="BN68">
        <f t="shared" si="32"/>
        <v>-140.73243977572972</v>
      </c>
      <c r="BQ68" s="56">
        <f t="shared" si="49"/>
        <v>4.066666434458222</v>
      </c>
      <c r="BR68" s="59"/>
      <c r="BS68" s="59"/>
      <c r="BT68" s="59">
        <v>380.18900000000002</v>
      </c>
      <c r="BU68" s="59">
        <v>23.2133</v>
      </c>
      <c r="BV68" s="59">
        <v>-265.49869999999999</v>
      </c>
      <c r="BW68" s="61"/>
      <c r="BY68" s="59"/>
      <c r="BZ68" s="59"/>
      <c r="CA68" s="59"/>
      <c r="CC68" s="59"/>
    </row>
    <row r="69" spans="1:81" x14ac:dyDescent="0.2">
      <c r="A69">
        <f t="shared" si="54"/>
        <v>17500</v>
      </c>
      <c r="B69">
        <f t="shared" si="33"/>
        <v>17.5</v>
      </c>
      <c r="C69">
        <f t="shared" si="0"/>
        <v>1.0000604494997476</v>
      </c>
      <c r="D69">
        <f t="shared" si="1"/>
        <v>1.0995131175773311E-2</v>
      </c>
      <c r="F69">
        <f t="shared" si="2"/>
        <v>0.6912035948566605</v>
      </c>
      <c r="G69">
        <f t="shared" si="3"/>
        <v>0.63475099276134561</v>
      </c>
      <c r="H69">
        <f t="shared" si="4"/>
        <v>-2.5068416572386547</v>
      </c>
      <c r="J69">
        <f t="shared" si="5"/>
        <v>15</v>
      </c>
      <c r="M69">
        <f t="shared" si="6"/>
        <v>4.5586807955247083E-2</v>
      </c>
      <c r="N69">
        <f t="shared" si="7"/>
        <v>-1.5707963250000001</v>
      </c>
      <c r="O69">
        <f t="shared" si="8"/>
        <v>2.2174864098433957</v>
      </c>
      <c r="P69">
        <f t="shared" si="9"/>
        <v>1.1029545260610725</v>
      </c>
      <c r="Q69">
        <f t="shared" si="10"/>
        <v>2.3101688956560995</v>
      </c>
      <c r="R69">
        <f t="shared" si="11"/>
        <v>1.1231235866450329</v>
      </c>
      <c r="S69">
        <f t="shared" si="12"/>
        <v>0.99999052039952963</v>
      </c>
      <c r="T69">
        <f t="shared" si="13"/>
        <v>-4.35421989513786E-3</v>
      </c>
      <c r="U69">
        <f t="shared" si="14"/>
        <v>0.99461821089855385</v>
      </c>
      <c r="V69">
        <f t="shared" si="15"/>
        <v>-0.10379425144913715</v>
      </c>
      <c r="X69">
        <f t="shared" si="34"/>
        <v>7.6343934302461838</v>
      </c>
      <c r="Y69">
        <f t="shared" si="16"/>
        <v>-111.65304252484458</v>
      </c>
      <c r="Z69">
        <f t="shared" si="35"/>
        <v>68.346957475155421</v>
      </c>
      <c r="AC69">
        <v>1</v>
      </c>
      <c r="AD69">
        <f t="shared" si="17"/>
        <v>1.9792033695000002</v>
      </c>
      <c r="AE69">
        <f t="shared" si="18"/>
        <v>-2.1762477654667522E-4</v>
      </c>
      <c r="AF69">
        <f t="shared" si="19"/>
        <v>2.0891591122499998E-3</v>
      </c>
      <c r="AG69">
        <f t="shared" si="36"/>
        <v>887.87253431062891</v>
      </c>
      <c r="AH69">
        <f t="shared" si="37"/>
        <v>-571.14992098241567</v>
      </c>
      <c r="AJ69">
        <f t="shared" si="20"/>
        <v>10500</v>
      </c>
      <c r="AK69">
        <f t="shared" si="21"/>
        <v>45.719597835450003</v>
      </c>
      <c r="AL69">
        <v>1</v>
      </c>
      <c r="AM69">
        <f t="shared" si="22"/>
        <v>2.0825177853879002</v>
      </c>
      <c r="AN69">
        <f t="shared" si="38"/>
        <v>1985.2818927021192</v>
      </c>
      <c r="AO69">
        <f t="shared" si="39"/>
        <v>-4088.6652527252668</v>
      </c>
      <c r="AQ69">
        <f t="shared" si="23"/>
        <v>8.1566068515497552</v>
      </c>
      <c r="AR69">
        <f t="shared" si="24"/>
        <v>-285.48123980424145</v>
      </c>
      <c r="AT69">
        <f t="shared" si="52"/>
        <v>-155810.56035949363</v>
      </c>
      <c r="AU69">
        <f t="shared" si="53"/>
        <v>-258129.59724187953</v>
      </c>
      <c r="AV69">
        <f t="shared" si="42"/>
        <v>-2.1138687211390979</v>
      </c>
      <c r="AW69">
        <f t="shared" si="25"/>
        <v>-1148457.1889625585</v>
      </c>
      <c r="AX69">
        <f t="shared" si="26"/>
        <v>-607152.23986530676</v>
      </c>
      <c r="AY69">
        <f t="shared" si="50"/>
        <v>-2.6552747623640141</v>
      </c>
      <c r="BA69">
        <f t="shared" si="27"/>
        <v>0.23209588355807889</v>
      </c>
      <c r="BB69">
        <f t="shared" si="43"/>
        <v>-12.68665124205485</v>
      </c>
      <c r="BC69">
        <f t="shared" si="44"/>
        <v>0.5414060412249162</v>
      </c>
      <c r="BD69">
        <f t="shared" si="28"/>
        <v>-148.97971879948059</v>
      </c>
      <c r="BF69">
        <f t="shared" si="29"/>
        <v>7.6278187445477421</v>
      </c>
      <c r="BG69">
        <f t="shared" si="30"/>
        <v>-111.98119121867494</v>
      </c>
      <c r="BH69">
        <f t="shared" si="45"/>
        <v>68.018808781325063</v>
      </c>
      <c r="BI69">
        <f t="shared" si="46"/>
        <v>68.018808781325063</v>
      </c>
      <c r="BJ69">
        <f t="shared" si="31"/>
        <v>0</v>
      </c>
      <c r="BK69">
        <f t="shared" si="47"/>
        <v>0</v>
      </c>
      <c r="BM69">
        <f t="shared" si="48"/>
        <v>20.314469986602592</v>
      </c>
      <c r="BN69">
        <f t="shared" si="32"/>
        <v>-143.00147241919433</v>
      </c>
      <c r="BQ69" s="56">
        <f t="shared" si="49"/>
        <v>4.2153095582302873</v>
      </c>
      <c r="BR69" s="59"/>
      <c r="BS69" s="59"/>
      <c r="BT69" s="59">
        <v>389.04500000000002</v>
      </c>
      <c r="BU69" s="59">
        <v>22.955200000000001</v>
      </c>
      <c r="BV69" s="59">
        <v>-266.06720000000001</v>
      </c>
      <c r="BW69" s="61"/>
      <c r="BY69" s="59"/>
      <c r="BZ69" s="59"/>
      <c r="CA69" s="59"/>
      <c r="CC69" s="59"/>
    </row>
    <row r="70" spans="1:81" x14ac:dyDescent="0.2">
      <c r="A70">
        <f t="shared" si="54"/>
        <v>18000</v>
      </c>
      <c r="B70">
        <f t="shared" si="33"/>
        <v>18</v>
      </c>
      <c r="C70">
        <f t="shared" si="0"/>
        <v>1.0000639529913804</v>
      </c>
      <c r="D70">
        <f t="shared" si="1"/>
        <v>1.130925136739102E-2</v>
      </c>
      <c r="F70">
        <f t="shared" si="2"/>
        <v>0.63928909315890592</v>
      </c>
      <c r="G70">
        <f t="shared" si="3"/>
        <v>0.59935472016234015</v>
      </c>
      <c r="H70">
        <f t="shared" si="4"/>
        <v>-2.5422379298376603</v>
      </c>
      <c r="J70">
        <f t="shared" si="5"/>
        <v>15</v>
      </c>
      <c r="M70">
        <f t="shared" si="6"/>
        <v>4.4320507734267996E-2</v>
      </c>
      <c r="N70">
        <f t="shared" si="7"/>
        <v>-1.5707963250000001</v>
      </c>
      <c r="O70">
        <f t="shared" si="8"/>
        <v>2.2681019282571828</v>
      </c>
      <c r="P70">
        <f t="shared" si="9"/>
        <v>1.1141981935393073</v>
      </c>
      <c r="Q70">
        <f t="shared" si="10"/>
        <v>2.363946355116354</v>
      </c>
      <c r="R70">
        <f t="shared" si="11"/>
        <v>1.134019105545482</v>
      </c>
      <c r="S70">
        <f t="shared" si="12"/>
        <v>0.99998997097789</v>
      </c>
      <c r="T70">
        <f t="shared" si="13"/>
        <v>-4.478624537400026E-3</v>
      </c>
      <c r="U70">
        <f t="shared" si="14"/>
        <v>0.99430894464744846</v>
      </c>
      <c r="V70">
        <f t="shared" si="15"/>
        <v>-0.10673763701885559</v>
      </c>
      <c r="X70">
        <f t="shared" si="34"/>
        <v>7.1047646014998369</v>
      </c>
      <c r="Y70">
        <f t="shared" si="16"/>
        <v>-112.57039128529676</v>
      </c>
      <c r="Z70">
        <f t="shared" si="35"/>
        <v>67.429608714703235</v>
      </c>
      <c r="AC70">
        <v>1</v>
      </c>
      <c r="AD70">
        <f t="shared" si="17"/>
        <v>2.0357520372000004</v>
      </c>
      <c r="AE70">
        <f t="shared" si="18"/>
        <v>-2.3023813094244174E-4</v>
      </c>
      <c r="AF70">
        <f t="shared" si="19"/>
        <v>2.1488493725999999E-3</v>
      </c>
      <c r="AG70">
        <f t="shared" si="36"/>
        <v>887.32047058038484</v>
      </c>
      <c r="AH70">
        <f t="shared" si="37"/>
        <v>-560.43714466419726</v>
      </c>
      <c r="AJ70">
        <f t="shared" si="20"/>
        <v>10500</v>
      </c>
      <c r="AK70">
        <f t="shared" si="21"/>
        <v>47.025872059320008</v>
      </c>
      <c r="AL70">
        <v>1</v>
      </c>
      <c r="AM70">
        <f t="shared" si="22"/>
        <v>2.1420182935418404</v>
      </c>
      <c r="AN70">
        <f t="shared" si="38"/>
        <v>1896.9703847099629</v>
      </c>
      <c r="AO70">
        <f t="shared" si="39"/>
        <v>-4016.3193942965231</v>
      </c>
      <c r="AQ70">
        <f t="shared" si="23"/>
        <v>7.7101002313030067</v>
      </c>
      <c r="AR70">
        <f t="shared" si="24"/>
        <v>-277.56360832690825</v>
      </c>
      <c r="AT70">
        <f t="shared" si="52"/>
        <v>-148715.62634796236</v>
      </c>
      <c r="AU70">
        <f t="shared" si="53"/>
        <v>-250608.89811532808</v>
      </c>
      <c r="AV70">
        <f t="shared" si="42"/>
        <v>-2.1063614604759202</v>
      </c>
      <c r="AW70">
        <f t="shared" si="25"/>
        <v>-1097657.8175765486</v>
      </c>
      <c r="AX70">
        <f t="shared" si="26"/>
        <v>-564386.3740397275</v>
      </c>
      <c r="AY70">
        <f t="shared" si="50"/>
        <v>-2.6666707794479341</v>
      </c>
      <c r="BA70">
        <f t="shared" si="27"/>
        <v>0.23610390091467018</v>
      </c>
      <c r="BB70">
        <f t="shared" si="43"/>
        <v>-12.537936748749882</v>
      </c>
      <c r="BC70">
        <f t="shared" si="44"/>
        <v>0.56030931897201386</v>
      </c>
      <c r="BD70">
        <f t="shared" si="28"/>
        <v>-147.89664076437074</v>
      </c>
      <c r="BF70">
        <f t="shared" si="29"/>
        <v>7.0983898041581162</v>
      </c>
      <c r="BG70">
        <f t="shared" si="30"/>
        <v>-112.90817245503993</v>
      </c>
      <c r="BH70">
        <f t="shared" si="45"/>
        <v>67.091827544960069</v>
      </c>
      <c r="BI70">
        <f t="shared" si="46"/>
        <v>67.091827544960069</v>
      </c>
      <c r="BJ70">
        <f t="shared" si="31"/>
        <v>0</v>
      </c>
      <c r="BK70">
        <f t="shared" si="47"/>
        <v>0</v>
      </c>
      <c r="BM70">
        <f t="shared" si="48"/>
        <v>19.636326552907999</v>
      </c>
      <c r="BN70">
        <f t="shared" si="32"/>
        <v>-145.01153169066919</v>
      </c>
      <c r="BQ70" s="56">
        <f t="shared" si="49"/>
        <v>4.3640240515352549</v>
      </c>
      <c r="BR70" s="59"/>
      <c r="BS70" s="59"/>
      <c r="BT70" s="59">
        <v>398.10700000000003</v>
      </c>
      <c r="BU70" s="59">
        <v>22.738499999999998</v>
      </c>
      <c r="BV70" s="59">
        <v>-265.2319</v>
      </c>
      <c r="BW70" s="61"/>
      <c r="BY70" s="59"/>
      <c r="BZ70" s="59"/>
      <c r="CA70" s="59"/>
      <c r="CC70" s="59"/>
    </row>
    <row r="71" spans="1:81" x14ac:dyDescent="0.2">
      <c r="A71">
        <f t="shared" si="54"/>
        <v>18500</v>
      </c>
      <c r="B71">
        <f t="shared" si="33"/>
        <v>18.5</v>
      </c>
      <c r="C71">
        <f t="shared" si="0"/>
        <v>1.0000675551601212</v>
      </c>
      <c r="D71">
        <f t="shared" si="1"/>
        <v>1.1623369327128036E-2</v>
      </c>
      <c r="F71">
        <f t="shared" si="2"/>
        <v>0.59297393793231357</v>
      </c>
      <c r="G71">
        <f t="shared" si="3"/>
        <v>0.56779659300286589</v>
      </c>
      <c r="H71">
        <f t="shared" si="4"/>
        <v>-2.5737960569971343</v>
      </c>
      <c r="J71">
        <f t="shared" si="5"/>
        <v>15</v>
      </c>
      <c r="M71">
        <f t="shared" si="6"/>
        <v>4.3122656173882376E-2</v>
      </c>
      <c r="N71">
        <f t="shared" si="7"/>
        <v>-1.5707963250000001</v>
      </c>
      <c r="O71">
        <f t="shared" si="8"/>
        <v>2.3189916428752038</v>
      </c>
      <c r="P71">
        <f t="shared" si="9"/>
        <v>1.1249496918993533</v>
      </c>
      <c r="Q71">
        <f t="shared" si="10"/>
        <v>2.4179919425465468</v>
      </c>
      <c r="R71">
        <f t="shared" si="11"/>
        <v>1.1444287537320792</v>
      </c>
      <c r="S71">
        <f t="shared" si="12"/>
        <v>0.99998940608052889</v>
      </c>
      <c r="T71">
        <f t="shared" si="13"/>
        <v>-4.6030290410344196E-3</v>
      </c>
      <c r="U71">
        <f t="shared" si="14"/>
        <v>0.9939912672732214</v>
      </c>
      <c r="V71">
        <f t="shared" si="15"/>
        <v>-0.10967916726145091</v>
      </c>
      <c r="X71">
        <f t="shared" si="34"/>
        <v>6.5998741479907466</v>
      </c>
      <c r="Y71">
        <f t="shared" si="16"/>
        <v>-113.32376188281145</v>
      </c>
      <c r="Z71">
        <f t="shared" si="35"/>
        <v>66.676238117188547</v>
      </c>
      <c r="AC71">
        <v>1</v>
      </c>
      <c r="AD71">
        <f t="shared" si="17"/>
        <v>2.0923007049000004</v>
      </c>
      <c r="AE71">
        <f t="shared" si="18"/>
        <v>-2.4320679109583542E-4</v>
      </c>
      <c r="AF71">
        <f t="shared" si="19"/>
        <v>2.20853963295E-3</v>
      </c>
      <c r="AG71">
        <f t="shared" si="36"/>
        <v>886.75357110968844</v>
      </c>
      <c r="AH71">
        <f t="shared" si="37"/>
        <v>-550.43815939973297</v>
      </c>
      <c r="AJ71">
        <f t="shared" si="20"/>
        <v>10500</v>
      </c>
      <c r="AK71">
        <f t="shared" si="21"/>
        <v>48.332146283190006</v>
      </c>
      <c r="AL71">
        <v>1</v>
      </c>
      <c r="AM71">
        <f t="shared" si="22"/>
        <v>2.2015188016957801</v>
      </c>
      <c r="AN71">
        <f t="shared" si="38"/>
        <v>1814.0885077083171</v>
      </c>
      <c r="AO71">
        <f t="shared" si="39"/>
        <v>-3945.4178113769103</v>
      </c>
      <c r="AQ71">
        <f t="shared" si="23"/>
        <v>7.2992700729927007</v>
      </c>
      <c r="AR71">
        <f t="shared" si="24"/>
        <v>-270.07299270072991</v>
      </c>
      <c r="AT71">
        <f t="shared" si="52"/>
        <v>-142185.82720204696</v>
      </c>
      <c r="AU71">
        <f t="shared" si="53"/>
        <v>-243505.9875215927</v>
      </c>
      <c r="AV71">
        <f t="shared" si="42"/>
        <v>-2.099301679764626</v>
      </c>
      <c r="AW71">
        <f t="shared" si="25"/>
        <v>-1049889.961268252</v>
      </c>
      <c r="AX71">
        <f t="shared" si="26"/>
        <v>-525479.41686406359</v>
      </c>
      <c r="AY71">
        <f t="shared" si="50"/>
        <v>-2.6775378953276663</v>
      </c>
      <c r="BA71">
        <f t="shared" si="27"/>
        <v>0.24017567816896676</v>
      </c>
      <c r="BB71">
        <f t="shared" si="43"/>
        <v>-12.389419486690731</v>
      </c>
      <c r="BC71">
        <f t="shared" si="44"/>
        <v>0.57823621556304028</v>
      </c>
      <c r="BD71">
        <f t="shared" si="28"/>
        <v>-146.8695052487638</v>
      </c>
      <c r="BF71">
        <f t="shared" si="29"/>
        <v>6.5937045694510887</v>
      </c>
      <c r="BG71">
        <f t="shared" si="30"/>
        <v>-113.67118680369137</v>
      </c>
      <c r="BH71">
        <f t="shared" si="45"/>
        <v>66.32881319630863</v>
      </c>
      <c r="BI71">
        <f t="shared" si="46"/>
        <v>66.32881319630863</v>
      </c>
      <c r="BJ71">
        <f t="shared" si="31"/>
        <v>0</v>
      </c>
      <c r="BK71">
        <f t="shared" si="47"/>
        <v>0</v>
      </c>
      <c r="BM71">
        <f t="shared" si="48"/>
        <v>18.983124056141818</v>
      </c>
      <c r="BN71">
        <f t="shared" si="32"/>
        <v>-146.8016815549276</v>
      </c>
      <c r="BQ71" s="56">
        <f t="shared" si="49"/>
        <v>4.5125413135944044</v>
      </c>
      <c r="BR71" s="59"/>
      <c r="BS71" s="59"/>
      <c r="BT71" s="59">
        <v>407.38</v>
      </c>
      <c r="BU71" s="59">
        <v>22.7593</v>
      </c>
      <c r="BV71" s="59">
        <v>-265.7319</v>
      </c>
      <c r="BW71" s="61"/>
      <c r="BY71" s="59"/>
      <c r="BZ71" s="59"/>
      <c r="CA71" s="59"/>
      <c r="CC71" s="59"/>
    </row>
    <row r="72" spans="1:81" x14ac:dyDescent="0.2">
      <c r="A72">
        <f t="shared" si="54"/>
        <v>19000</v>
      </c>
      <c r="B72">
        <f t="shared" si="33"/>
        <v>19</v>
      </c>
      <c r="C72">
        <f t="shared" si="0"/>
        <v>1.0000712560049039</v>
      </c>
      <c r="D72">
        <f t="shared" si="1"/>
        <v>1.1937484993020718E-2</v>
      </c>
      <c r="F72">
        <f t="shared" si="2"/>
        <v>0.55154048671939149</v>
      </c>
      <c r="G72">
        <f t="shared" si="3"/>
        <v>0.53951280150112502</v>
      </c>
      <c r="H72">
        <f t="shared" si="4"/>
        <v>-2.6020798484988754</v>
      </c>
      <c r="J72">
        <f t="shared" si="5"/>
        <v>15</v>
      </c>
      <c r="M72">
        <f t="shared" si="6"/>
        <v>4.1987849432464419E-2</v>
      </c>
      <c r="N72">
        <f t="shared" si="7"/>
        <v>-1.5707963250000001</v>
      </c>
      <c r="O72">
        <f t="shared" si="8"/>
        <v>2.3701378917952041</v>
      </c>
      <c r="P72">
        <f t="shared" si="9"/>
        <v>1.1352383146266107</v>
      </c>
      <c r="Q72">
        <f t="shared" si="10"/>
        <v>2.4722880737311548</v>
      </c>
      <c r="R72">
        <f t="shared" si="11"/>
        <v>1.1543822102289023</v>
      </c>
      <c r="S72">
        <f t="shared" si="12"/>
        <v>0.99998882570752479</v>
      </c>
      <c r="T72">
        <f t="shared" si="13"/>
        <v>-4.7274334021905912E-3</v>
      </c>
      <c r="U72">
        <f t="shared" si="14"/>
        <v>0.99366520331932673</v>
      </c>
      <c r="V72">
        <f t="shared" si="15"/>
        <v>-0.11261879307579836</v>
      </c>
      <c r="X72">
        <f t="shared" si="34"/>
        <v>6.1186229866702302</v>
      </c>
      <c r="Y72">
        <f t="shared" si="16"/>
        <v>-113.94207655250895</v>
      </c>
      <c r="Z72">
        <f t="shared" si="35"/>
        <v>66.057923447491049</v>
      </c>
      <c r="AC72">
        <v>1</v>
      </c>
      <c r="AD72">
        <f t="shared" si="17"/>
        <v>2.1488493726000004</v>
      </c>
      <c r="AE72">
        <f t="shared" si="18"/>
        <v>-2.5653075700685638E-4</v>
      </c>
      <c r="AF72">
        <f t="shared" si="19"/>
        <v>2.2682298932999996E-3</v>
      </c>
      <c r="AG72">
        <f t="shared" si="36"/>
        <v>886.17189406425223</v>
      </c>
      <c r="AH72">
        <f t="shared" si="37"/>
        <v>-541.09609896591462</v>
      </c>
      <c r="AJ72">
        <f t="shared" si="20"/>
        <v>10500</v>
      </c>
      <c r="AK72">
        <f t="shared" si="21"/>
        <v>49.638420507060005</v>
      </c>
      <c r="AL72">
        <v>1</v>
      </c>
      <c r="AM72">
        <f t="shared" si="22"/>
        <v>2.2610193098497202</v>
      </c>
      <c r="AN72">
        <f t="shared" si="38"/>
        <v>1736.2355588236755</v>
      </c>
      <c r="AO72">
        <f t="shared" si="39"/>
        <v>-3876.0237044409901</v>
      </c>
      <c r="AQ72">
        <f t="shared" si="23"/>
        <v>6.9204152249134951</v>
      </c>
      <c r="AR72">
        <f t="shared" si="24"/>
        <v>-262.97577854671277</v>
      </c>
      <c r="AT72">
        <f t="shared" si="52"/>
        <v>-136162.49042657786</v>
      </c>
      <c r="AU72">
        <f t="shared" si="53"/>
        <v>-236786.3534491868</v>
      </c>
      <c r="AV72">
        <f t="shared" si="42"/>
        <v>-2.0926634147860588</v>
      </c>
      <c r="AW72">
        <f t="shared" si="25"/>
        <v>-1004941.8219688096</v>
      </c>
      <c r="AX72">
        <f t="shared" si="26"/>
        <v>-490015.8578595728</v>
      </c>
      <c r="AY72">
        <f t="shared" si="50"/>
        <v>-2.6879091578816783</v>
      </c>
      <c r="BA72">
        <f t="shared" si="27"/>
        <v>0.24430569705803848</v>
      </c>
      <c r="BB72">
        <f t="shared" si="43"/>
        <v>-12.241328108585252</v>
      </c>
      <c r="BC72">
        <f t="shared" si="44"/>
        <v>0.59524574309561951</v>
      </c>
      <c r="BD72">
        <f t="shared" si="28"/>
        <v>-145.8949311085218</v>
      </c>
      <c r="BF72">
        <f t="shared" si="29"/>
        <v>6.1126639329449484</v>
      </c>
      <c r="BG72">
        <f t="shared" si="30"/>
        <v>-114.29915704502375</v>
      </c>
      <c r="BH72">
        <f t="shared" si="45"/>
        <v>65.700842954976252</v>
      </c>
      <c r="BI72">
        <f t="shared" si="46"/>
        <v>65.700842954976252</v>
      </c>
      <c r="BJ72">
        <f t="shared" si="31"/>
        <v>0</v>
      </c>
      <c r="BK72">
        <f t="shared" si="47"/>
        <v>0</v>
      </c>
      <c r="BM72">
        <f t="shared" si="48"/>
        <v>18.353992041530198</v>
      </c>
      <c r="BN72">
        <f t="shared" si="32"/>
        <v>-148.40422593650194</v>
      </c>
      <c r="BQ72" s="56">
        <f t="shared" si="49"/>
        <v>4.6606326916998846</v>
      </c>
      <c r="BR72" s="59"/>
      <c r="BS72" s="59"/>
      <c r="BT72" s="59">
        <v>416.86900000000003</v>
      </c>
      <c r="BU72" s="59">
        <v>22.4206</v>
      </c>
      <c r="BV72" s="59">
        <v>-265.24939999999998</v>
      </c>
      <c r="BW72" s="61"/>
      <c r="BY72" s="59"/>
      <c r="BZ72" s="59"/>
      <c r="CA72" s="59"/>
      <c r="CC72" s="59"/>
    </row>
    <row r="73" spans="1:81" x14ac:dyDescent="0.2">
      <c r="A73">
        <f t="shared" si="54"/>
        <v>19500</v>
      </c>
      <c r="B73">
        <f t="shared" si="33"/>
        <v>19.5</v>
      </c>
      <c r="C73">
        <f t="shared" ref="C73:C136" si="55">SQRT((A73/Fesr)^2+1)</f>
        <v>1.0000750555246329</v>
      </c>
      <c r="D73">
        <f t="shared" ref="D73:D136" si="56">ATAN(A73/Fesr)</f>
        <v>1.2251598303108143E-2</v>
      </c>
      <c r="F73">
        <f t="shared" ref="F73:F136" si="57">(Ro/(Ro+Rdcr))/SQRT((A73/(Q*Fo))^2+(1-(A73^2/Fo^2))^2)</f>
        <v>0.51436142341089419</v>
      </c>
      <c r="G73">
        <f t="shared" ref="G73:G136" si="58">-ATAN(A73*Fo/(Q*(Fo^2-A73^2)))</f>
        <v>0.51403659707910332</v>
      </c>
      <c r="H73">
        <f t="shared" ref="H73:H136" si="59">IF(G73&gt;0,G73-Pi,G73)</f>
        <v>-2.6275560529208968</v>
      </c>
      <c r="J73">
        <f t="shared" ref="J73:J136" si="60">Vin/Vramp</f>
        <v>15</v>
      </c>
      <c r="M73">
        <f t="shared" ref="M73:M136" si="61">1/(2*Pi*_Rfb1*(Cc1ea_u+Cc2ea_u)*A73)</f>
        <v>4.0911237908555075E-2</v>
      </c>
      <c r="N73">
        <f t="shared" ref="N73:N136" si="62">-Pi/2</f>
        <v>-1.5707963250000001</v>
      </c>
      <c r="O73">
        <f t="shared" ref="O73:O136" si="63">SQRT(1+(A73/Fz1_u)^2)</f>
        <v>2.4215244198973256</v>
      </c>
      <c r="P73">
        <f t="shared" ref="P73:P136" si="64">ATAN2(Fz1_u,A73)</f>
        <v>1.145091279573593</v>
      </c>
      <c r="Q73">
        <f t="shared" ref="Q73:Q136" si="65">SQRT(1+(A73/Fz2_u)^2)</f>
        <v>2.5268185977128907</v>
      </c>
      <c r="R73">
        <f t="shared" ref="R73:R136" si="66">ATAN2(Fz2_u,A73)</f>
        <v>1.1639069715777233</v>
      </c>
      <c r="S73">
        <f t="shared" ref="S73:S136" si="67">1/SQRT(1+(A73/Fp1_u)^2)</f>
        <v>0.99998822985895841</v>
      </c>
      <c r="T73">
        <f t="shared" ref="T73:T136" si="68">-ATAN2(Fp1_u,A73)</f>
        <v>-4.8518376170181201E-3</v>
      </c>
      <c r="U73">
        <f t="shared" ref="U73:U136" si="69">1/SQRT(1+(A73/Fp2_u)^2)</f>
        <v>0.99333077793346891</v>
      </c>
      <c r="V73">
        <f t="shared" ref="V73:V136" si="70">-ATAN2(Fp2_u,A73)</f>
        <v>-0.11555646555598253</v>
      </c>
      <c r="X73">
        <f t="shared" si="34"/>
        <v>5.6597312479747668</v>
      </c>
      <c r="Y73">
        <f t="shared" ref="Y73:Y136" si="71">(180/Pi)*(D73+H73+N73+P73+R73+T73+V73)</f>
        <v>-114.44894031538593</v>
      </c>
      <c r="Z73">
        <f t="shared" si="35"/>
        <v>65.551059684614074</v>
      </c>
      <c r="AC73">
        <v>1</v>
      </c>
      <c r="AD73">
        <f t="shared" ref="AD73:AD136" si="72">Rcea1_u*Cc1ea_u*A73*2*Pi</f>
        <v>2.2053980403000004</v>
      </c>
      <c r="AE73">
        <f t="shared" ref="AE73:AE136" si="73">-Rcea1_u*Cc1ea_u*Cc2ea_u*(A73*2*Pi)^2</f>
        <v>-2.7021002867550457E-4</v>
      </c>
      <c r="AF73">
        <f t="shared" ref="AF73:AF136" si="74">(Cc2ea_u+Cc1ea_u)*A73*2*Pi</f>
        <v>2.3279201536499997E-3</v>
      </c>
      <c r="AG73">
        <f t="shared" si="36"/>
        <v>885.57549900922766</v>
      </c>
      <c r="AH73">
        <f t="shared" si="37"/>
        <v>-532.35991751628342</v>
      </c>
      <c r="AJ73">
        <f t="shared" ref="AJ73:AJ136" si="75">_Rfb1</f>
        <v>10500</v>
      </c>
      <c r="AK73">
        <f t="shared" ref="AK73:AK136" si="76">_Rfb1*Rcea2_u*Cc3ea_u*A73*2*Pi</f>
        <v>50.944694730930003</v>
      </c>
      <c r="AL73">
        <v>1</v>
      </c>
      <c r="AM73">
        <f t="shared" ref="AM73:AM136" si="77">(_Rfb1+Rcea2_u)*Cc3ea_u*A73*2*Pi</f>
        <v>2.3205198180036599</v>
      </c>
      <c r="AN73">
        <f t="shared" si="38"/>
        <v>1663.0431402392178</v>
      </c>
      <c r="AO73">
        <f t="shared" si="39"/>
        <v>-3808.179870389215</v>
      </c>
      <c r="AQ73">
        <f t="shared" ref="AQ73:AQ136" si="78">Eadcg/(1+(Eadcg*A73/GBP)^2)</f>
        <v>6.5703022339027592</v>
      </c>
      <c r="AR73">
        <f t="shared" ref="AR73:AR136" si="79">-(A73*Eadcg*Eadcg/GBP)/(1+(Eadcg*A73/GBP)^2)</f>
        <v>-256.2417871222076</v>
      </c>
      <c r="AT73">
        <f t="shared" si="52"/>
        <v>-130594.35797717361</v>
      </c>
      <c r="AU73">
        <f t="shared" si="53"/>
        <v>-230419.21405306281</v>
      </c>
      <c r="AV73">
        <f t="shared" si="42"/>
        <v>-2.0864224310505053</v>
      </c>
      <c r="AW73">
        <f t="shared" si="25"/>
        <v>-962616.78700415872</v>
      </c>
      <c r="AX73">
        <f t="shared" si="26"/>
        <v>-457631.46296265285</v>
      </c>
      <c r="AY73">
        <f t="shared" si="50"/>
        <v>-2.6978150867939981</v>
      </c>
      <c r="BA73">
        <f t="shared" ref="BA73:BA136" si="80">SQRT(AT73^2+AU73^2)/SQRT(AW73^2+AX73^2)</f>
        <v>0.24848899321445977</v>
      </c>
      <c r="BB73">
        <f t="shared" si="43"/>
        <v>-12.0938568703708</v>
      </c>
      <c r="BC73">
        <f t="shared" si="44"/>
        <v>0.61139265574349277</v>
      </c>
      <c r="BD73">
        <f t="shared" ref="BD73:BD136" si="81">BC73*180/Pi-180</f>
        <v>-144.96978116057514</v>
      </c>
      <c r="BF73">
        <f t="shared" ref="BF73:BF136" si="82">20*LOG(BA73*J73*F73*C73)</f>
        <v>5.6539880000515588</v>
      </c>
      <c r="BG73">
        <f t="shared" ref="BG73:BG136" si="83">(180/Pi)*(D73+H73+BC73)</f>
        <v>-114.81568872316188</v>
      </c>
      <c r="BH73">
        <f t="shared" si="45"/>
        <v>65.184311276838116</v>
      </c>
      <c r="BI73">
        <f t="shared" si="46"/>
        <v>65.184311276838116</v>
      </c>
      <c r="BJ73">
        <f t="shared" ref="BJ73:BJ136" si="84">SUM((BF74&lt;0)*(BF73&gt;0))*A73</f>
        <v>0</v>
      </c>
      <c r="BK73">
        <f t="shared" si="47"/>
        <v>0</v>
      </c>
      <c r="BM73">
        <f t="shared" si="48"/>
        <v>17.747844870422359</v>
      </c>
      <c r="BN73">
        <f t="shared" ref="BN73:BN136" si="85">(H73+D73)*180/Pi</f>
        <v>-149.84590756258675</v>
      </c>
      <c r="BQ73" s="56">
        <f t="shared" si="49"/>
        <v>4.8081039299143367</v>
      </c>
      <c r="BR73" s="59"/>
      <c r="BS73" s="59"/>
      <c r="BT73" s="59">
        <v>426.58</v>
      </c>
      <c r="BU73" s="59">
        <v>22.373699999999999</v>
      </c>
      <c r="BV73" s="59">
        <v>-265.14060000000001</v>
      </c>
      <c r="BW73" s="61"/>
      <c r="BY73" s="59"/>
      <c r="BZ73" s="59"/>
      <c r="CA73" s="59"/>
      <c r="CC73" s="59"/>
    </row>
    <row r="74" spans="1:81" x14ac:dyDescent="0.2">
      <c r="A74">
        <f t="shared" si="54"/>
        <v>20000</v>
      </c>
      <c r="B74">
        <f t="shared" ref="B74:B137" si="86">A74/1000</f>
        <v>20</v>
      </c>
      <c r="C74">
        <f t="shared" si="55"/>
        <v>1.0000789537181833</v>
      </c>
      <c r="D74">
        <f t="shared" si="56"/>
        <v>1.2565709195432186E-2</v>
      </c>
      <c r="F74">
        <f t="shared" si="57"/>
        <v>0.48089402015521637</v>
      </c>
      <c r="G74">
        <f t="shared" si="58"/>
        <v>0.49098048902230018</v>
      </c>
      <c r="H74">
        <f t="shared" si="59"/>
        <v>-2.6506121609777002</v>
      </c>
      <c r="J74">
        <f t="shared" si="60"/>
        <v>15</v>
      </c>
      <c r="M74">
        <f t="shared" si="61"/>
        <v>3.9888456960841201E-2</v>
      </c>
      <c r="N74">
        <f t="shared" si="62"/>
        <v>-1.5707963250000001</v>
      </c>
      <c r="O74">
        <f t="shared" si="63"/>
        <v>2.4731362497509184</v>
      </c>
      <c r="P74">
        <f t="shared" si="64"/>
        <v>1.1545338870123083</v>
      </c>
      <c r="Q74">
        <f t="shared" si="65"/>
        <v>2.581568661283935</v>
      </c>
      <c r="R74">
        <f t="shared" si="66"/>
        <v>1.1730285280693693</v>
      </c>
      <c r="S74">
        <f t="shared" si="67"/>
        <v>0.99998761853491291</v>
      </c>
      <c r="T74">
        <f t="shared" si="68"/>
        <v>-4.9762416816666087E-3</v>
      </c>
      <c r="U74">
        <f t="shared" si="69"/>
        <v>0.99298801686230709</v>
      </c>
      <c r="V74">
        <f t="shared" si="70"/>
        <v>-0.1184921359959132</v>
      </c>
      <c r="X74">
        <f t="shared" ref="X74:X137" si="87">20*LOG(C74*J74*O74*Q74*F74*M74*S74*U74)</f>
        <v>5.2218502768856689</v>
      </c>
      <c r="Y74">
        <f t="shared" si="71"/>
        <v>-114.86364188179223</v>
      </c>
      <c r="Z74">
        <f t="shared" ref="Z74:Z137" si="88">Y74+180</f>
        <v>65.136358118207767</v>
      </c>
      <c r="AC74">
        <v>1</v>
      </c>
      <c r="AD74">
        <f t="shared" si="72"/>
        <v>2.261946708</v>
      </c>
      <c r="AE74">
        <f t="shared" si="73"/>
        <v>-2.8424460610177994E-4</v>
      </c>
      <c r="AF74">
        <f t="shared" si="74"/>
        <v>2.3876104140000002E-3</v>
      </c>
      <c r="AG74">
        <f t="shared" ref="AG74:AG137" si="89">AC74*AE74/(AE74^2+AF74^2)+AD74*AF74/(AE74^2+AF74^2)</f>
        <v>884.96444689421742</v>
      </c>
      <c r="AH74">
        <f t="shared" ref="AH74:AH137" si="90">AD74*AE74/(AE74^2+AF74^2)-AC74*AF74/(AE74^2+AF74^2)</f>
        <v>-524.18366215985452</v>
      </c>
      <c r="AJ74">
        <f t="shared" si="75"/>
        <v>10500</v>
      </c>
      <c r="AK74">
        <f t="shared" si="76"/>
        <v>52.250968954800008</v>
      </c>
      <c r="AL74">
        <v>1</v>
      </c>
      <c r="AM74">
        <f t="shared" si="77"/>
        <v>2.3800203261576001</v>
      </c>
      <c r="AN74">
        <f t="shared" ref="AN74:AN137" si="91">AJ74*AL74/(AL74^2+AM74^2)+AK74*AM74/(AL74^2+AM74^2)</f>
        <v>1594.1726377934781</v>
      </c>
      <c r="AO74">
        <f t="shared" ref="AO74:AO137" si="92">AK74*AL74/(AL74^2+AM74^2)-AJ74*AM74/(AL74^2+AM74^2)</f>
        <v>-3741.9123123979557</v>
      </c>
      <c r="AQ74">
        <f t="shared" si="78"/>
        <v>6.2460961898813245</v>
      </c>
      <c r="AR74">
        <f t="shared" si="79"/>
        <v>-249.84384759525295</v>
      </c>
      <c r="AT74">
        <f t="shared" si="52"/>
        <v>-125436.48994066185</v>
      </c>
      <c r="AU74">
        <f t="shared" si="53"/>
        <v>-224377.02397207089</v>
      </c>
      <c r="AV74">
        <f t="shared" ref="AV74:AV137" si="93">ATAN2(AT74,AU74)</f>
        <v>-2.080556108954478</v>
      </c>
      <c r="AW74">
        <f t="shared" ref="AW74:AW137" si="94">AG74-AH74*AO74/_Rfb2+AG74*AN74/_Rfb2+AN74-AO74*AR74+AQ74*AN74</f>
        <v>-922732.60836630035</v>
      </c>
      <c r="AX74">
        <f t="shared" ref="AX74:AX137" si="95">AH74+AH74*AN74/_Rfb2+AG74*AO74/_Rfb2+AO74+AO74*AQ74+AN74*AR74</f>
        <v>-428006.21507492359</v>
      </c>
      <c r="AY74">
        <f t="shared" si="50"/>
        <v>-2.7072838929477823</v>
      </c>
      <c r="BA74">
        <f t="shared" si="80"/>
        <v>0.25272108702225066</v>
      </c>
      <c r="BB74">
        <f t="shared" ref="BB74:BB137" si="96">20*LOG(BA74)</f>
        <v>-11.947170381599946</v>
      </c>
      <c r="BC74">
        <f t="shared" ref="BC74:BC137" si="97">AV74-AY74</f>
        <v>0.62672778399330431</v>
      </c>
      <c r="BD74">
        <f t="shared" si="81"/>
        <v>-144.0911430325651</v>
      </c>
      <c r="BF74">
        <f t="shared" si="82"/>
        <v>5.2163280901421203</v>
      </c>
      <c r="BG74">
        <f t="shared" si="83"/>
        <v>-115.24007105186392</v>
      </c>
      <c r="BH74">
        <f t="shared" ref="BH74:BH137" si="98">IF(BG74&gt;180,BG74-180,BG74+180)</f>
        <v>64.759928948136078</v>
      </c>
      <c r="BI74">
        <f t="shared" ref="BI74:BI137" si="99">IF(BH74&gt;180,BH74-360,BH74)</f>
        <v>64.759928948136078</v>
      </c>
      <c r="BJ74">
        <f t="shared" si="84"/>
        <v>0</v>
      </c>
      <c r="BK74">
        <f t="shared" ref="BK74:BK137" si="100">IF(BJ74&gt;0,BI74,0)</f>
        <v>0</v>
      </c>
      <c r="BM74">
        <f t="shared" ref="BM74:BM137" si="101">20*LOG(J74*F74*C74)</f>
        <v>17.163498471742066</v>
      </c>
      <c r="BN74">
        <f t="shared" si="85"/>
        <v>-151.14892801929884</v>
      </c>
      <c r="BQ74" s="56">
        <f t="shared" ref="BQ74:BQ137" si="102">20*LOG(BA74*7)</f>
        <v>4.9547904186851923</v>
      </c>
      <c r="BR74" s="59"/>
      <c r="BS74" s="59"/>
      <c r="BT74" s="59">
        <v>436.51600000000002</v>
      </c>
      <c r="BU74" s="59">
        <v>22.074100000000001</v>
      </c>
      <c r="BV74" s="59">
        <v>-264.9151</v>
      </c>
      <c r="BW74" s="61"/>
      <c r="BY74" s="59"/>
      <c r="BZ74" s="59"/>
      <c r="CA74" s="59"/>
      <c r="CC74" s="59"/>
    </row>
    <row r="75" spans="1:81" x14ac:dyDescent="0.2">
      <c r="A75">
        <f t="shared" si="54"/>
        <v>20500</v>
      </c>
      <c r="B75">
        <f t="shared" si="86"/>
        <v>20.5</v>
      </c>
      <c r="C75">
        <f t="shared" si="55"/>
        <v>1.000082950584402</v>
      </c>
      <c r="D75">
        <f t="shared" si="56"/>
        <v>1.2879817608037568E-2</v>
      </c>
      <c r="F75">
        <f t="shared" si="57"/>
        <v>0.45067128045725496</v>
      </c>
      <c r="G75">
        <f t="shared" si="58"/>
        <v>0.4700215294597464</v>
      </c>
      <c r="H75">
        <f t="shared" si="59"/>
        <v>-2.6715711205402539</v>
      </c>
      <c r="J75">
        <f t="shared" si="60"/>
        <v>15</v>
      </c>
      <c r="M75">
        <f t="shared" si="61"/>
        <v>3.891556776667434E-2</v>
      </c>
      <c r="N75">
        <f t="shared" si="62"/>
        <v>-1.5707963250000001</v>
      </c>
      <c r="O75">
        <f t="shared" si="63"/>
        <v>2.5249595654469963</v>
      </c>
      <c r="P75">
        <f t="shared" si="64"/>
        <v>1.1635896665754217</v>
      </c>
      <c r="Q75">
        <f t="shared" si="65"/>
        <v>2.63652458760393</v>
      </c>
      <c r="R75">
        <f t="shared" si="66"/>
        <v>1.1817705260183284</v>
      </c>
      <c r="S75">
        <f t="shared" si="67"/>
        <v>0.99998699173547367</v>
      </c>
      <c r="T75">
        <f t="shared" si="68"/>
        <v>-5.1006455922856901E-3</v>
      </c>
      <c r="U75">
        <f t="shared" si="69"/>
        <v>0.99263694644604594</v>
      </c>
      <c r="V75">
        <f t="shared" si="70"/>
        <v>-0.12142575589389107</v>
      </c>
      <c r="X75">
        <f t="shared" si="87"/>
        <v>4.8036315313489872</v>
      </c>
      <c r="Y75">
        <f t="shared" si="71"/>
        <v>-115.20197904347519</v>
      </c>
      <c r="Z75">
        <f t="shared" si="88"/>
        <v>64.798020956524809</v>
      </c>
      <c r="AC75">
        <v>1</v>
      </c>
      <c r="AD75">
        <f t="shared" si="72"/>
        <v>2.3184953757</v>
      </c>
      <c r="AE75">
        <f t="shared" si="73"/>
        <v>-2.9863448928568254E-4</v>
      </c>
      <c r="AF75">
        <f t="shared" si="74"/>
        <v>2.4473006743500002E-3</v>
      </c>
      <c r="AG75">
        <f t="shared" si="89"/>
        <v>884.33880003798481</v>
      </c>
      <c r="AH75">
        <f t="shared" si="90"/>
        <v>-516.52585199429927</v>
      </c>
      <c r="AJ75">
        <f t="shared" si="75"/>
        <v>10500</v>
      </c>
      <c r="AK75">
        <f t="shared" si="76"/>
        <v>53.557243178670014</v>
      </c>
      <c r="AL75">
        <v>1</v>
      </c>
      <c r="AM75">
        <f t="shared" si="77"/>
        <v>2.4395208343115402</v>
      </c>
      <c r="AN75">
        <f t="shared" si="91"/>
        <v>1529.3128300880244</v>
      </c>
      <c r="AO75">
        <f t="shared" si="92"/>
        <v>-3677.2332680010099</v>
      </c>
      <c r="AQ75">
        <f t="shared" si="78"/>
        <v>5.9453032104637336</v>
      </c>
      <c r="AR75">
        <f t="shared" si="79"/>
        <v>-243.75743162901307</v>
      </c>
      <c r="AT75">
        <f t="shared" si="52"/>
        <v>-120649.35274511465</v>
      </c>
      <c r="AU75">
        <f t="shared" si="53"/>
        <v>-218635.05739329176</v>
      </c>
      <c r="AV75">
        <f t="shared" si="93"/>
        <v>-2.0750433337355441</v>
      </c>
      <c r="AW75">
        <f t="shared" si="94"/>
        <v>-885120.53448688332</v>
      </c>
      <c r="AX75">
        <f t="shared" si="95"/>
        <v>-400858.31832752528</v>
      </c>
      <c r="AY75">
        <f t="shared" ref="AY75:AY138" si="103">ATAN2(AW75,AX75)</f>
        <v>-2.7163416775553251</v>
      </c>
      <c r="BA75">
        <f t="shared" si="80"/>
        <v>0.2569979245927565</v>
      </c>
      <c r="BB75">
        <f t="shared" si="96"/>
        <v>-11.801407676685622</v>
      </c>
      <c r="BC75">
        <f t="shared" si="97"/>
        <v>0.64129834381978101</v>
      </c>
      <c r="BD75">
        <f t="shared" si="81"/>
        <v>-143.25631144841117</v>
      </c>
      <c r="BF75">
        <f t="shared" si="82"/>
        <v>4.7983356349732773</v>
      </c>
      <c r="BG75">
        <f t="shared" si="83"/>
        <v>-115.58810230862944</v>
      </c>
      <c r="BH75">
        <f t="shared" si="98"/>
        <v>64.411897691370555</v>
      </c>
      <c r="BI75">
        <f t="shared" si="99"/>
        <v>64.411897691370555</v>
      </c>
      <c r="BJ75">
        <f t="shared" si="84"/>
        <v>0</v>
      </c>
      <c r="BK75">
        <f t="shared" si="100"/>
        <v>0</v>
      </c>
      <c r="BM75">
        <f t="shared" si="101"/>
        <v>16.599743311658901</v>
      </c>
      <c r="BN75">
        <f t="shared" si="85"/>
        <v>-152.33179086021826</v>
      </c>
      <c r="BQ75" s="56">
        <f t="shared" si="102"/>
        <v>5.1005531235995125</v>
      </c>
      <c r="BR75" s="59"/>
      <c r="BS75" s="59"/>
      <c r="BT75" s="59">
        <v>446.68400000000003</v>
      </c>
      <c r="BU75" s="59">
        <v>21.761099999999999</v>
      </c>
      <c r="BV75" s="59">
        <v>-265.3082</v>
      </c>
      <c r="BW75" s="61"/>
      <c r="BY75" s="59"/>
      <c r="BZ75" s="59"/>
      <c r="CA75" s="59"/>
      <c r="CC75" s="59"/>
    </row>
    <row r="76" spans="1:81" x14ac:dyDescent="0.2">
      <c r="A76">
        <f t="shared" si="54"/>
        <v>21000</v>
      </c>
      <c r="B76">
        <f t="shared" si="86"/>
        <v>21</v>
      </c>
      <c r="C76">
        <f t="shared" si="55"/>
        <v>1.000087046122105</v>
      </c>
      <c r="D76">
        <f t="shared" si="56"/>
        <v>1.3193923478971963E-2</v>
      </c>
      <c r="F76">
        <f t="shared" si="57"/>
        <v>0.42329231269992507</v>
      </c>
      <c r="G76">
        <f t="shared" si="58"/>
        <v>0.45088934083203153</v>
      </c>
      <c r="H76">
        <f t="shared" si="59"/>
        <v>-2.6907033091679686</v>
      </c>
      <c r="J76">
        <f t="shared" si="60"/>
        <v>15</v>
      </c>
      <c r="M76">
        <f t="shared" si="61"/>
        <v>3.7989006629372574E-2</v>
      </c>
      <c r="N76">
        <f t="shared" si="62"/>
        <v>-1.5707963250000001</v>
      </c>
      <c r="O76">
        <f t="shared" si="63"/>
        <v>2.5769816080231966</v>
      </c>
      <c r="P76">
        <f t="shared" si="64"/>
        <v>1.1722805134418866</v>
      </c>
      <c r="Q76">
        <f t="shared" si="65"/>
        <v>2.6916737673978934</v>
      </c>
      <c r="R76">
        <f t="shared" si="66"/>
        <v>1.1901549168679419</v>
      </c>
      <c r="S76">
        <f t="shared" si="67"/>
        <v>0.9999863494607274</v>
      </c>
      <c r="T76">
        <f t="shared" si="68"/>
        <v>-5.2250493450250231E-3</v>
      </c>
      <c r="U76">
        <f t="shared" si="69"/>
        <v>0.99227759361291967</v>
      </c>
      <c r="V76">
        <f t="shared" si="70"/>
        <v>-0.12435727695712238</v>
      </c>
      <c r="X76">
        <f t="shared" si="87"/>
        <v>4.4037675442458211</v>
      </c>
      <c r="Y76">
        <f t="shared" si="71"/>
        <v>-115.47692830343131</v>
      </c>
      <c r="Z76">
        <f t="shared" si="88"/>
        <v>64.523071696568692</v>
      </c>
      <c r="AC76">
        <v>1</v>
      </c>
      <c r="AD76">
        <f t="shared" si="72"/>
        <v>2.3750440434</v>
      </c>
      <c r="AE76">
        <f t="shared" si="73"/>
        <v>-3.1337967822721242E-4</v>
      </c>
      <c r="AF76">
        <f t="shared" si="74"/>
        <v>2.5069909346999999E-3</v>
      </c>
      <c r="AG76">
        <f t="shared" si="89"/>
        <v>883.69862211286409</v>
      </c>
      <c r="AH76">
        <f t="shared" si="90"/>
        <v>-509.34894585104081</v>
      </c>
      <c r="AJ76">
        <f t="shared" si="75"/>
        <v>10500</v>
      </c>
      <c r="AK76">
        <f t="shared" si="76"/>
        <v>54.863517402540005</v>
      </c>
      <c r="AL76">
        <v>1</v>
      </c>
      <c r="AM76">
        <f t="shared" si="77"/>
        <v>2.4990213424654804</v>
      </c>
      <c r="AN76">
        <f t="shared" si="91"/>
        <v>1468.1776427993145</v>
      </c>
      <c r="AO76">
        <f t="shared" si="92"/>
        <v>-3614.1437464836076</v>
      </c>
      <c r="AQ76">
        <f t="shared" si="78"/>
        <v>5.6657223796033991</v>
      </c>
      <c r="AR76">
        <f t="shared" si="79"/>
        <v>-237.96033994334277</v>
      </c>
      <c r="AT76">
        <f t="shared" si="52"/>
        <v>-116198.05724436742</v>
      </c>
      <c r="AU76">
        <f t="shared" si="53"/>
        <v>-213171.05424697639</v>
      </c>
      <c r="AV76">
        <f t="shared" si="93"/>
        <v>-2.0698643909199594</v>
      </c>
      <c r="AW76">
        <f t="shared" si="94"/>
        <v>-849624.42819812545</v>
      </c>
      <c r="AX76">
        <f t="shared" si="95"/>
        <v>-375939.09306941472</v>
      </c>
      <c r="AY76">
        <f t="shared" si="103"/>
        <v>-2.7250126128612391</v>
      </c>
      <c r="BA76">
        <f t="shared" si="80"/>
        <v>0.26131582717368257</v>
      </c>
      <c r="BB76">
        <f t="shared" si="96"/>
        <v>-11.656685709316388</v>
      </c>
      <c r="BC76">
        <f t="shared" si="97"/>
        <v>0.65514822194127964</v>
      </c>
      <c r="BD76">
        <f t="shared" si="81"/>
        <v>-142.46277188437199</v>
      </c>
      <c r="BF76">
        <f t="shared" si="82"/>
        <v>4.3987031406637289</v>
      </c>
      <c r="BG76">
        <f t="shared" si="83"/>
        <v>-115.87275946631371</v>
      </c>
      <c r="BH76">
        <f t="shared" si="98"/>
        <v>64.12724053368629</v>
      </c>
      <c r="BI76">
        <f t="shared" si="99"/>
        <v>64.12724053368629</v>
      </c>
      <c r="BJ76">
        <f t="shared" si="84"/>
        <v>0</v>
      </c>
      <c r="BK76">
        <f t="shared" si="100"/>
        <v>0</v>
      </c>
      <c r="BM76">
        <f t="shared" si="101"/>
        <v>16.055388849980119</v>
      </c>
      <c r="BN76">
        <f t="shared" si="85"/>
        <v>-153.40998758194172</v>
      </c>
      <c r="BQ76" s="56">
        <f t="shared" si="102"/>
        <v>5.2452750909687476</v>
      </c>
      <c r="BR76" s="59"/>
      <c r="BS76" s="59"/>
      <c r="BT76" s="59">
        <v>457.08800000000002</v>
      </c>
      <c r="BU76" s="59">
        <v>21.6126</v>
      </c>
      <c r="BV76" s="59">
        <v>-265.65139999999997</v>
      </c>
      <c r="BW76" s="61"/>
      <c r="BY76" s="59"/>
      <c r="BZ76" s="59"/>
      <c r="CA76" s="59"/>
      <c r="CC76" s="59"/>
    </row>
    <row r="77" spans="1:81" x14ac:dyDescent="0.2">
      <c r="A77">
        <f t="shared" si="54"/>
        <v>21500</v>
      </c>
      <c r="B77">
        <f t="shared" si="86"/>
        <v>21.5</v>
      </c>
      <c r="C77">
        <f t="shared" si="55"/>
        <v>1.0000912403300806</v>
      </c>
      <c r="D77">
        <f t="shared" si="56"/>
        <v>1.3508026746286039E-2</v>
      </c>
      <c r="F77">
        <f t="shared" si="57"/>
        <v>0.39841308665909808</v>
      </c>
      <c r="G77">
        <f t="shared" si="58"/>
        <v>0.43335645301563225</v>
      </c>
      <c r="H77">
        <f t="shared" si="59"/>
        <v>-2.7082361969843678</v>
      </c>
      <c r="J77">
        <f t="shared" si="60"/>
        <v>15</v>
      </c>
      <c r="M77">
        <f t="shared" si="61"/>
        <v>3.7105541358922051E-2</v>
      </c>
      <c r="N77">
        <f t="shared" si="62"/>
        <v>-1.5707963250000001</v>
      </c>
      <c r="O77">
        <f t="shared" si="63"/>
        <v>2.6291905812768017</v>
      </c>
      <c r="P77">
        <f t="shared" si="64"/>
        <v>1.1806268142443492</v>
      </c>
      <c r="Q77">
        <f t="shared" si="65"/>
        <v>2.7470045613535157</v>
      </c>
      <c r="R77">
        <f t="shared" si="66"/>
        <v>1.1982020939726372</v>
      </c>
      <c r="S77">
        <f t="shared" si="67"/>
        <v>0.99998569171076401</v>
      </c>
      <c r="T77">
        <f t="shared" si="68"/>
        <v>-5.3494529360342997E-3</v>
      </c>
      <c r="U77">
        <f t="shared" si="69"/>
        <v>0.99190998587356805</v>
      </c>
      <c r="V77">
        <f t="shared" si="70"/>
        <v>-0.12728665110618126</v>
      </c>
      <c r="X77">
        <f t="shared" si="87"/>
        <v>4.0210149327497611</v>
      </c>
      <c r="Y77">
        <f t="shared" si="71"/>
        <v>-115.69918346714871</v>
      </c>
      <c r="Z77">
        <f t="shared" si="88"/>
        <v>64.300816532851286</v>
      </c>
      <c r="AC77">
        <v>1</v>
      </c>
      <c r="AD77">
        <f t="shared" si="72"/>
        <v>2.4315927111000004</v>
      </c>
      <c r="AE77">
        <f t="shared" si="73"/>
        <v>-3.2848017292636948E-4</v>
      </c>
      <c r="AF77">
        <f t="shared" si="74"/>
        <v>2.5666811950499999E-3</v>
      </c>
      <c r="AG77">
        <f t="shared" si="89"/>
        <v>883.04397812888499</v>
      </c>
      <c r="AH77">
        <f t="shared" si="90"/>
        <v>-502.61888431073123</v>
      </c>
      <c r="AJ77">
        <f t="shared" si="75"/>
        <v>10500</v>
      </c>
      <c r="AK77">
        <f t="shared" si="76"/>
        <v>56.169791626410003</v>
      </c>
      <c r="AL77">
        <v>1</v>
      </c>
      <c r="AM77">
        <f t="shared" si="77"/>
        <v>2.5585218506194201</v>
      </c>
      <c r="AN77">
        <f t="shared" si="91"/>
        <v>1410.5040547728536</v>
      </c>
      <c r="AO77">
        <f t="shared" si="92"/>
        <v>-3552.6356528972274</v>
      </c>
      <c r="AQ77">
        <f t="shared" si="78"/>
        <v>5.4054054054054053</v>
      </c>
      <c r="AR77">
        <f t="shared" si="79"/>
        <v>-232.43243243243242</v>
      </c>
      <c r="AT77">
        <f t="shared" si="52"/>
        <v>-112051.71917423003</v>
      </c>
      <c r="AU77">
        <f t="shared" si="53"/>
        <v>-207964.91861542047</v>
      </c>
      <c r="AV77">
        <f t="shared" si="93"/>
        <v>-2.065000867641162</v>
      </c>
      <c r="AW77">
        <f t="shared" si="94"/>
        <v>-816099.89440243226</v>
      </c>
      <c r="AX77">
        <f t="shared" si="95"/>
        <v>-353028.61865252914</v>
      </c>
      <c r="AY77">
        <f t="shared" si="103"/>
        <v>-2.7333191061197617</v>
      </c>
      <c r="BA77">
        <f t="shared" si="80"/>
        <v>0.26567144761836176</v>
      </c>
      <c r="BB77">
        <f t="shared" si="96"/>
        <v>-11.513102356138003</v>
      </c>
      <c r="BC77">
        <f t="shared" si="97"/>
        <v>0.66831823847859972</v>
      </c>
      <c r="BD77">
        <f t="shared" si="81"/>
        <v>-141.70818551980381</v>
      </c>
      <c r="BF77">
        <f t="shared" si="82"/>
        <v>4.0161871970580592</v>
      </c>
      <c r="BG77">
        <f t="shared" si="83"/>
        <v>-116.10473678588048</v>
      </c>
      <c r="BH77">
        <f t="shared" si="98"/>
        <v>63.895263214119524</v>
      </c>
      <c r="BI77">
        <f t="shared" si="99"/>
        <v>63.895263214119524</v>
      </c>
      <c r="BJ77">
        <f t="shared" si="84"/>
        <v>0</v>
      </c>
      <c r="BK77">
        <f t="shared" si="100"/>
        <v>0</v>
      </c>
      <c r="BM77">
        <f t="shared" si="101"/>
        <v>15.529289553196062</v>
      </c>
      <c r="BN77">
        <f t="shared" si="85"/>
        <v>-154.39655126607667</v>
      </c>
      <c r="BQ77" s="56">
        <f t="shared" si="102"/>
        <v>5.3888584441471341</v>
      </c>
      <c r="BR77" s="58"/>
      <c r="BS77" s="58"/>
      <c r="BT77" s="58">
        <v>467.73500000000001</v>
      </c>
      <c r="BU77" s="58">
        <v>21.3672</v>
      </c>
      <c r="BV77" s="58">
        <v>-265.05009999999999</v>
      </c>
      <c r="BW77" s="61"/>
      <c r="BY77" s="58"/>
      <c r="BZ77" s="58"/>
      <c r="CA77" s="58"/>
      <c r="CC77" s="58"/>
    </row>
    <row r="78" spans="1:81" x14ac:dyDescent="0.2">
      <c r="A78">
        <f t="shared" si="54"/>
        <v>22000</v>
      </c>
      <c r="B78">
        <f t="shared" si="86"/>
        <v>22</v>
      </c>
      <c r="C78">
        <f t="shared" si="55"/>
        <v>1.0000955332070873</v>
      </c>
      <c r="D78">
        <f t="shared" si="56"/>
        <v>1.3822127348033555E-2</v>
      </c>
      <c r="F78">
        <f t="shared" si="57"/>
        <v>0.37573807555038341</v>
      </c>
      <c r="G78">
        <f t="shared" si="58"/>
        <v>0.41723053088974493</v>
      </c>
      <c r="H78">
        <f t="shared" si="59"/>
        <v>-2.7243621191102552</v>
      </c>
      <c r="J78">
        <f t="shared" si="60"/>
        <v>15</v>
      </c>
      <c r="M78">
        <f t="shared" si="61"/>
        <v>3.6262233600764728E-2</v>
      </c>
      <c r="N78">
        <f t="shared" si="62"/>
        <v>-1.5707963250000001</v>
      </c>
      <c r="O78">
        <f t="shared" si="63"/>
        <v>2.6815755668816728</v>
      </c>
      <c r="P78">
        <f t="shared" si="64"/>
        <v>1.1886475632502842</v>
      </c>
      <c r="Q78">
        <f t="shared" si="65"/>
        <v>2.8025062124886055</v>
      </c>
      <c r="R78">
        <f t="shared" si="66"/>
        <v>1.205931017923757</v>
      </c>
      <c r="S78">
        <f t="shared" si="67"/>
        <v>0.99998501848567489</v>
      </c>
      <c r="T78">
        <f t="shared" si="68"/>
        <v>-5.4738563614632387E-3</v>
      </c>
      <c r="U78">
        <f t="shared" si="69"/>
        <v>0.99153415131530664</v>
      </c>
      <c r="V78">
        <f t="shared" si="70"/>
        <v>-0.13021383047941887</v>
      </c>
      <c r="X78">
        <f t="shared" si="87"/>
        <v>3.6542059842546211</v>
      </c>
      <c r="Y78">
        <f t="shared" si="71"/>
        <v>-115.87758713314763</v>
      </c>
      <c r="Z78">
        <f t="shared" si="88"/>
        <v>64.122412866852372</v>
      </c>
      <c r="AC78">
        <v>1</v>
      </c>
      <c r="AD78">
        <f t="shared" si="72"/>
        <v>2.4881413788000004</v>
      </c>
      <c r="AE78">
        <f t="shared" si="73"/>
        <v>-3.4393597338315367E-4</v>
      </c>
      <c r="AF78">
        <f t="shared" si="74"/>
        <v>2.6263714554E-3</v>
      </c>
      <c r="AG78">
        <f t="shared" si="89"/>
        <v>882.37493441761569</v>
      </c>
      <c r="AH78">
        <f t="shared" si="90"/>
        <v>-496.30469417331415</v>
      </c>
      <c r="AJ78">
        <f t="shared" si="75"/>
        <v>10500</v>
      </c>
      <c r="AK78">
        <f t="shared" si="76"/>
        <v>57.476065850280008</v>
      </c>
      <c r="AL78">
        <v>1</v>
      </c>
      <c r="AM78">
        <f t="shared" si="77"/>
        <v>2.6180223587733602</v>
      </c>
      <c r="AN78">
        <f t="shared" si="91"/>
        <v>1356.0501567486492</v>
      </c>
      <c r="AO78">
        <f t="shared" si="92"/>
        <v>-3492.6935641358032</v>
      </c>
      <c r="AQ78">
        <f t="shared" si="78"/>
        <v>5.1626226122870422</v>
      </c>
      <c r="AR78">
        <f t="shared" si="79"/>
        <v>-227.15539494062983</v>
      </c>
      <c r="AT78">
        <f t="shared" si="52"/>
        <v>-108182.92002688799</v>
      </c>
      <c r="AU78">
        <f t="shared" si="53"/>
        <v>-202998.4605500692</v>
      </c>
      <c r="AV78">
        <f t="shared" si="93"/>
        <v>-2.0604355599772868</v>
      </c>
      <c r="AW78">
        <f t="shared" si="94"/>
        <v>-784413.43344560277</v>
      </c>
      <c r="AX78">
        <f t="shared" si="95"/>
        <v>-331932.00560231047</v>
      </c>
      <c r="AY78">
        <f t="shared" si="103"/>
        <v>-2.7412819484121593</v>
      </c>
      <c r="BA78">
        <f t="shared" si="80"/>
        <v>0.27006173279198348</v>
      </c>
      <c r="BB78">
        <f t="shared" si="96"/>
        <v>-11.370739002269506</v>
      </c>
      <c r="BC78">
        <f t="shared" si="97"/>
        <v>0.68084638843487255</v>
      </c>
      <c r="BD78">
        <f t="shared" si="81"/>
        <v>-140.99037540138215</v>
      </c>
      <c r="BF78">
        <f t="shared" si="82"/>
        <v>3.6496200636610525</v>
      </c>
      <c r="BG78">
        <f t="shared" si="83"/>
        <v>-116.29287730824133</v>
      </c>
      <c r="BH78">
        <f t="shared" si="98"/>
        <v>63.70712269175867</v>
      </c>
      <c r="BI78">
        <f t="shared" si="99"/>
        <v>63.70712269175867</v>
      </c>
      <c r="BJ78">
        <f t="shared" si="84"/>
        <v>0</v>
      </c>
      <c r="BK78">
        <f t="shared" si="100"/>
        <v>0</v>
      </c>
      <c r="BM78">
        <f t="shared" si="101"/>
        <v>15.02035906593056</v>
      </c>
      <c r="BN78">
        <f t="shared" si="85"/>
        <v>-155.30250190685919</v>
      </c>
      <c r="BQ78" s="56">
        <f t="shared" si="102"/>
        <v>5.5312217980156309</v>
      </c>
      <c r="BR78" s="58"/>
      <c r="BS78" s="58"/>
      <c r="BT78" s="58">
        <v>478.63</v>
      </c>
      <c r="BU78" s="58">
        <v>21.195799999999998</v>
      </c>
      <c r="BV78" s="58">
        <v>-264.35129999999998</v>
      </c>
      <c r="BW78" s="61"/>
      <c r="BY78" s="58"/>
      <c r="BZ78" s="58"/>
      <c r="CA78" s="58"/>
      <c r="CC78" s="58"/>
    </row>
    <row r="79" spans="1:81" x14ac:dyDescent="0.2">
      <c r="A79">
        <f t="shared" si="54"/>
        <v>22500</v>
      </c>
      <c r="B79">
        <f t="shared" si="86"/>
        <v>22.5</v>
      </c>
      <c r="C79">
        <f t="shared" si="55"/>
        <v>1.0000999247518547</v>
      </c>
      <c r="D79">
        <f t="shared" si="56"/>
        <v>1.4136225222271422E-2</v>
      </c>
      <c r="F79">
        <f t="shared" si="57"/>
        <v>0.35501294489394936</v>
      </c>
      <c r="G79">
        <f t="shared" si="58"/>
        <v>0.40234812511864892</v>
      </c>
      <c r="H79">
        <f t="shared" si="59"/>
        <v>-2.7392445248813511</v>
      </c>
      <c r="J79">
        <f t="shared" si="60"/>
        <v>15</v>
      </c>
      <c r="M79">
        <f t="shared" si="61"/>
        <v>3.5456406187414399E-2</v>
      </c>
      <c r="N79">
        <f t="shared" si="62"/>
        <v>-1.5707963250000001</v>
      </c>
      <c r="O79">
        <f t="shared" si="63"/>
        <v>2.7341264478359761</v>
      </c>
      <c r="P79">
        <f t="shared" si="64"/>
        <v>1.1963604694088452</v>
      </c>
      <c r="Q79">
        <f t="shared" si="65"/>
        <v>2.858168767396108</v>
      </c>
      <c r="R79">
        <f t="shared" si="66"/>
        <v>1.2133593312784501</v>
      </c>
      <c r="S79">
        <f t="shared" si="67"/>
        <v>0.99998432978555385</v>
      </c>
      <c r="T79">
        <f t="shared" si="68"/>
        <v>-5.5982596174615918E-3</v>
      </c>
      <c r="U79">
        <f t="shared" si="69"/>
        <v>0.99115011859629698</v>
      </c>
      <c r="V79">
        <f t="shared" si="70"/>
        <v>-0.13313876743731876</v>
      </c>
      <c r="X79">
        <f t="shared" si="87"/>
        <v>3.3022530717946195</v>
      </c>
      <c r="Y79">
        <f t="shared" si="71"/>
        <v>-116.01947604021215</v>
      </c>
      <c r="Z79">
        <f t="shared" si="88"/>
        <v>63.980523959787845</v>
      </c>
      <c r="AC79">
        <v>1</v>
      </c>
      <c r="AD79">
        <f t="shared" si="72"/>
        <v>2.5446900465000004</v>
      </c>
      <c r="AE79">
        <f t="shared" si="73"/>
        <v>-3.5974707959756524E-4</v>
      </c>
      <c r="AF79">
        <f t="shared" si="74"/>
        <v>2.6860617157500001E-3</v>
      </c>
      <c r="AG79">
        <f t="shared" si="89"/>
        <v>881.6915586157312</v>
      </c>
      <c r="AH79">
        <f t="shared" si="90"/>
        <v>-490.3781456674576</v>
      </c>
      <c r="AJ79">
        <f t="shared" si="75"/>
        <v>10500</v>
      </c>
      <c r="AK79">
        <f t="shared" si="76"/>
        <v>58.782340074150014</v>
      </c>
      <c r="AL79">
        <v>1</v>
      </c>
      <c r="AM79">
        <f t="shared" si="77"/>
        <v>2.6775228669273003</v>
      </c>
      <c r="AN79">
        <f t="shared" si="91"/>
        <v>1304.5933596213831</v>
      </c>
      <c r="AO79">
        <f t="shared" si="92"/>
        <v>-3434.296212353614</v>
      </c>
      <c r="AQ79">
        <f t="shared" si="78"/>
        <v>4.9358341559723593</v>
      </c>
      <c r="AR79">
        <f t="shared" si="79"/>
        <v>-222.11253701875617</v>
      </c>
      <c r="AT79">
        <f t="shared" si="52"/>
        <v>-104567.25072270415</v>
      </c>
      <c r="AU79">
        <f t="shared" si="53"/>
        <v>-198255.17415288926</v>
      </c>
      <c r="AV79">
        <f t="shared" si="93"/>
        <v>-2.0561523862915476</v>
      </c>
      <c r="AW79">
        <f t="shared" si="94"/>
        <v>-754441.63064529642</v>
      </c>
      <c r="AX79">
        <f t="shared" si="95"/>
        <v>-312476.19881439017</v>
      </c>
      <c r="AY79">
        <f t="shared" si="103"/>
        <v>-2.7489204497389594</v>
      </c>
      <c r="BA79">
        <f t="shared" si="80"/>
        <v>0.27448389099122367</v>
      </c>
      <c r="BB79">
        <f t="shared" si="96"/>
        <v>-11.229662769917855</v>
      </c>
      <c r="BC79">
        <f t="shared" si="97"/>
        <v>0.69276806344741182</v>
      </c>
      <c r="BD79">
        <f t="shared" si="81"/>
        <v>-140.30731373765656</v>
      </c>
      <c r="BF79">
        <f t="shared" si="82"/>
        <v>3.2979140850644875</v>
      </c>
      <c r="BG79">
        <f t="shared" si="83"/>
        <v>-116.44451820260663</v>
      </c>
      <c r="BH79">
        <f t="shared" si="98"/>
        <v>63.555481797393369</v>
      </c>
      <c r="BI79">
        <f t="shared" si="99"/>
        <v>63.555481797393369</v>
      </c>
      <c r="BJ79">
        <f t="shared" si="84"/>
        <v>0</v>
      </c>
      <c r="BK79">
        <f t="shared" si="100"/>
        <v>0</v>
      </c>
      <c r="BM79">
        <f t="shared" si="101"/>
        <v>14.527576854982341</v>
      </c>
      <c r="BN79">
        <f t="shared" si="85"/>
        <v>-156.13720446495006</v>
      </c>
      <c r="BQ79" s="56">
        <f t="shared" si="102"/>
        <v>5.6722980303672834</v>
      </c>
      <c r="BR79" s="59"/>
      <c r="BS79" s="59"/>
      <c r="BT79" s="59">
        <v>489.779</v>
      </c>
      <c r="BU79" s="59">
        <v>20.944800000000001</v>
      </c>
      <c r="BV79" s="59">
        <v>-263.91079999999999</v>
      </c>
      <c r="BW79" s="61"/>
      <c r="BY79" s="59"/>
      <c r="BZ79" s="59"/>
      <c r="CA79" s="59"/>
      <c r="CC79" s="59"/>
    </row>
    <row r="80" spans="1:81" x14ac:dyDescent="0.2">
      <c r="A80">
        <f t="shared" si="54"/>
        <v>23000</v>
      </c>
      <c r="B80">
        <f t="shared" si="86"/>
        <v>23</v>
      </c>
      <c r="C80">
        <f t="shared" si="55"/>
        <v>1.0001044149630827</v>
      </c>
      <c r="D80">
        <f t="shared" si="56"/>
        <v>1.445032030705978E-2</v>
      </c>
      <c r="F80">
        <f t="shared" si="57"/>
        <v>0.33601827922986421</v>
      </c>
      <c r="G80">
        <f t="shared" si="58"/>
        <v>0.3885696401230318</v>
      </c>
      <c r="H80">
        <f t="shared" si="59"/>
        <v>-2.7530230098769684</v>
      </c>
      <c r="J80">
        <f t="shared" si="60"/>
        <v>15</v>
      </c>
      <c r="M80">
        <f t="shared" si="61"/>
        <v>3.4685614748557567E-2</v>
      </c>
      <c r="N80">
        <f t="shared" si="62"/>
        <v>-1.5707963250000001</v>
      </c>
      <c r="O80">
        <f t="shared" si="63"/>
        <v>2.7868338393691272</v>
      </c>
      <c r="P80">
        <f t="shared" si="64"/>
        <v>1.2037820548704108</v>
      </c>
      <c r="Q80">
        <f t="shared" si="65"/>
        <v>2.9139830053967546</v>
      </c>
      <c r="R80">
        <f t="shared" si="66"/>
        <v>1.2205034635255088</v>
      </c>
      <c r="S80">
        <f t="shared" si="67"/>
        <v>0.99998362561049692</v>
      </c>
      <c r="T80">
        <f t="shared" si="68"/>
        <v>-5.7226627001791402E-3</v>
      </c>
      <c r="U80">
        <f t="shared" si="69"/>
        <v>0.99075791693961379</v>
      </c>
      <c r="V80">
        <f t="shared" si="70"/>
        <v>-0.13606141456679713</v>
      </c>
      <c r="X80">
        <f t="shared" si="87"/>
        <v>2.9641486606020102</v>
      </c>
      <c r="Y80">
        <f t="shared" si="71"/>
        <v>-116.13095772278874</v>
      </c>
      <c r="Z80">
        <f t="shared" si="88"/>
        <v>63.869042277211264</v>
      </c>
      <c r="AC80">
        <v>1</v>
      </c>
      <c r="AD80">
        <f t="shared" si="72"/>
        <v>2.6012387142000004</v>
      </c>
      <c r="AE80">
        <f t="shared" si="73"/>
        <v>-3.75913491569604E-4</v>
      </c>
      <c r="AF80">
        <f t="shared" si="74"/>
        <v>2.7457519760999997E-3</v>
      </c>
      <c r="AG80">
        <f t="shared" si="89"/>
        <v>880.99391964831432</v>
      </c>
      <c r="AH80">
        <f t="shared" si="90"/>
        <v>-484.81345437374915</v>
      </c>
      <c r="AJ80">
        <f t="shared" si="75"/>
        <v>10500</v>
      </c>
      <c r="AK80">
        <f t="shared" si="76"/>
        <v>60.088614298020005</v>
      </c>
      <c r="AL80">
        <v>1</v>
      </c>
      <c r="AM80">
        <f t="shared" si="77"/>
        <v>2.7370233750812405</v>
      </c>
      <c r="AN80">
        <f t="shared" si="91"/>
        <v>1255.9287465149246</v>
      </c>
      <c r="AO80">
        <f t="shared" si="92"/>
        <v>-3377.4177223498104</v>
      </c>
      <c r="AQ80">
        <f t="shared" si="78"/>
        <v>4.7236655644780345</v>
      </c>
      <c r="AR80">
        <f t="shared" si="79"/>
        <v>-217.28861596598961</v>
      </c>
      <c r="AT80">
        <f t="shared" si="52"/>
        <v>-101182.92386180513</v>
      </c>
      <c r="AU80">
        <f t="shared" si="53"/>
        <v>-193720.04609445541</v>
      </c>
      <c r="AV80">
        <f t="shared" si="93"/>
        <v>-2.0521363064443872</v>
      </c>
      <c r="AW80">
        <f t="shared" si="94"/>
        <v>-726070.38837270357</v>
      </c>
      <c r="AX80">
        <f t="shared" si="95"/>
        <v>-294507.22986654722</v>
      </c>
      <c r="AY80">
        <f t="shared" si="103"/>
        <v>-2.756252561696277</v>
      </c>
      <c r="BA80">
        <f t="shared" si="80"/>
        <v>0.27893536361435312</v>
      </c>
      <c r="BB80">
        <f t="shared" si="96"/>
        <v>-11.089928441895236</v>
      </c>
      <c r="BC80">
        <f t="shared" si="97"/>
        <v>0.70411625525188981</v>
      </c>
      <c r="BD80">
        <f t="shared" si="81"/>
        <v>-139.65711024141206</v>
      </c>
      <c r="BF80">
        <f t="shared" si="82"/>
        <v>2.9600616975115535</v>
      </c>
      <c r="BG80">
        <f t="shared" si="83"/>
        <v>-116.56576742285266</v>
      </c>
      <c r="BH80">
        <f t="shared" si="98"/>
        <v>63.434232577147341</v>
      </c>
      <c r="BI80">
        <f t="shared" si="99"/>
        <v>63.434232577147341</v>
      </c>
      <c r="BJ80">
        <f t="shared" si="84"/>
        <v>0</v>
      </c>
      <c r="BK80">
        <f t="shared" si="100"/>
        <v>0</v>
      </c>
      <c r="BM80">
        <f t="shared" si="101"/>
        <v>14.049990139406789</v>
      </c>
      <c r="BN80">
        <f t="shared" si="85"/>
        <v>-156.90865718144062</v>
      </c>
      <c r="BQ80" s="56">
        <f t="shared" si="102"/>
        <v>5.8120323583899012</v>
      </c>
      <c r="BR80" s="59"/>
      <c r="BS80" s="59"/>
      <c r="BT80" s="59">
        <v>501.18700000000001</v>
      </c>
      <c r="BU80" s="59">
        <v>20.7819</v>
      </c>
      <c r="BV80" s="59">
        <v>-264.7826</v>
      </c>
      <c r="BW80" s="61"/>
      <c r="BY80" s="59"/>
      <c r="BZ80" s="59"/>
      <c r="CA80" s="59"/>
      <c r="CC80" s="59"/>
    </row>
    <row r="81" spans="1:81" x14ac:dyDescent="0.2">
      <c r="A81">
        <f t="shared" si="54"/>
        <v>23500</v>
      </c>
      <c r="B81">
        <f t="shared" si="86"/>
        <v>23.5</v>
      </c>
      <c r="C81">
        <f t="shared" si="55"/>
        <v>1.0001090038394425</v>
      </c>
      <c r="D81">
        <f t="shared" si="56"/>
        <v>1.476441254046207E-2</v>
      </c>
      <c r="F81">
        <f t="shared" si="57"/>
        <v>0.3185642602248428</v>
      </c>
      <c r="G81">
        <f t="shared" si="58"/>
        <v>0.37577527106328179</v>
      </c>
      <c r="H81">
        <f t="shared" si="59"/>
        <v>-2.7658173789367186</v>
      </c>
      <c r="J81">
        <f t="shared" si="60"/>
        <v>15</v>
      </c>
      <c r="M81">
        <f t="shared" si="61"/>
        <v>3.3947622945396765E-2</v>
      </c>
      <c r="N81">
        <f t="shared" si="62"/>
        <v>-1.5707963250000001</v>
      </c>
      <c r="O81">
        <f t="shared" si="63"/>
        <v>2.8396890265285841</v>
      </c>
      <c r="P81">
        <f t="shared" si="64"/>
        <v>1.2109277455828993</v>
      </c>
      <c r="Q81">
        <f t="shared" si="65"/>
        <v>2.9699403747389899</v>
      </c>
      <c r="R81">
        <f t="shared" si="66"/>
        <v>1.2273787270844765</v>
      </c>
      <c r="S81">
        <f t="shared" si="67"/>
        <v>0.99998290596060224</v>
      </c>
      <c r="T81">
        <f t="shared" si="68"/>
        <v>-5.8470656057656991E-3</v>
      </c>
      <c r="U81">
        <f t="shared" si="69"/>
        <v>0.99035757612721709</v>
      </c>
      <c r="V81">
        <f t="shared" si="70"/>
        <v>-0.13898172468544726</v>
      </c>
      <c r="X81">
        <f t="shared" si="87"/>
        <v>2.6389626927406646</v>
      </c>
      <c r="Y81">
        <f t="shared" si="71"/>
        <v>-116.21713261380874</v>
      </c>
      <c r="Z81">
        <f t="shared" si="88"/>
        <v>63.782867386191256</v>
      </c>
      <c r="AC81">
        <v>1</v>
      </c>
      <c r="AD81">
        <f t="shared" si="72"/>
        <v>2.6577873819</v>
      </c>
      <c r="AE81">
        <f t="shared" si="73"/>
        <v>-3.9243520929926992E-4</v>
      </c>
      <c r="AF81">
        <f t="shared" si="74"/>
        <v>2.8054422364499998E-3</v>
      </c>
      <c r="AG81">
        <f t="shared" si="89"/>
        <v>880.28208771189713</v>
      </c>
      <c r="AH81">
        <f t="shared" si="90"/>
        <v>-479.58702120210137</v>
      </c>
      <c r="AJ81">
        <f t="shared" si="75"/>
        <v>10500</v>
      </c>
      <c r="AK81">
        <f t="shared" si="76"/>
        <v>61.394888521890003</v>
      </c>
      <c r="AL81">
        <v>1</v>
      </c>
      <c r="AM81">
        <f t="shared" si="77"/>
        <v>2.7965238832351802</v>
      </c>
      <c r="AN81">
        <f t="shared" si="91"/>
        <v>1209.8675612979823</v>
      </c>
      <c r="AO81">
        <f t="shared" si="92"/>
        <v>-3322.0286421994215</v>
      </c>
      <c r="AQ81">
        <f t="shared" si="78"/>
        <v>4.5248868778280542</v>
      </c>
      <c r="AR81">
        <f t="shared" si="79"/>
        <v>-212.66968325791856</v>
      </c>
      <c r="AT81">
        <f t="shared" si="52"/>
        <v>-98010.443026184934</v>
      </c>
      <c r="AU81">
        <f t="shared" si="53"/>
        <v>-189379.38979032249</v>
      </c>
      <c r="AV81">
        <f t="shared" si="93"/>
        <v>-2.0483732466682802</v>
      </c>
      <c r="AW81">
        <f t="shared" si="94"/>
        <v>-699194.20414832048</v>
      </c>
      <c r="AX81">
        <f t="shared" si="95"/>
        <v>-277887.85006371391</v>
      </c>
      <c r="AY81">
        <f t="shared" si="103"/>
        <v>-2.7632949889271519</v>
      </c>
      <c r="BA81">
        <f t="shared" si="80"/>
        <v>0.28341380044876219</v>
      </c>
      <c r="BB81">
        <f t="shared" si="96"/>
        <v>-10.951580123915051</v>
      </c>
      <c r="BC81">
        <f t="shared" si="97"/>
        <v>0.71492174225887162</v>
      </c>
      <c r="BD81">
        <f t="shared" si="81"/>
        <v>-139.0380014396211</v>
      </c>
      <c r="BF81">
        <f t="shared" si="82"/>
        <v>2.6351328135372345</v>
      </c>
      <c r="BG81">
        <f t="shared" si="83"/>
        <v>-116.66172581118344</v>
      </c>
      <c r="BH81">
        <f t="shared" si="98"/>
        <v>63.338274188816555</v>
      </c>
      <c r="BI81">
        <f t="shared" si="99"/>
        <v>63.338274188816555</v>
      </c>
      <c r="BJ81">
        <f t="shared" si="84"/>
        <v>0</v>
      </c>
      <c r="BK81">
        <f t="shared" si="100"/>
        <v>0</v>
      </c>
      <c r="BM81">
        <f t="shared" si="101"/>
        <v>13.586712937452283</v>
      </c>
      <c r="BN81">
        <f t="shared" si="85"/>
        <v>-157.62372437156233</v>
      </c>
      <c r="BQ81" s="56">
        <f t="shared" si="102"/>
        <v>5.9503806763700862</v>
      </c>
      <c r="BR81" s="59"/>
      <c r="BS81" s="59"/>
      <c r="BT81" s="59">
        <v>512.86099999999999</v>
      </c>
      <c r="BU81" s="59">
        <v>20.634799999999998</v>
      </c>
      <c r="BV81" s="59">
        <v>-265.04300000000001</v>
      </c>
      <c r="BW81" s="61"/>
      <c r="BY81" s="59"/>
      <c r="BZ81" s="59"/>
      <c r="CA81" s="59"/>
      <c r="CC81" s="59"/>
    </row>
    <row r="82" spans="1:81" x14ac:dyDescent="0.2">
      <c r="A82">
        <f t="shared" si="54"/>
        <v>24000</v>
      </c>
      <c r="B82">
        <f t="shared" si="86"/>
        <v>24</v>
      </c>
      <c r="C82">
        <f t="shared" si="55"/>
        <v>1.0001136913795758</v>
      </c>
      <c r="D82">
        <f t="shared" si="56"/>
        <v>1.507850186054511E-2</v>
      </c>
      <c r="F82">
        <f t="shared" si="57"/>
        <v>0.30248618120057413</v>
      </c>
      <c r="G82">
        <f t="shared" si="58"/>
        <v>0.36386171161280079</v>
      </c>
      <c r="H82">
        <f t="shared" si="59"/>
        <v>-2.7777309383871995</v>
      </c>
      <c r="J82">
        <f t="shared" si="60"/>
        <v>15</v>
      </c>
      <c r="M82">
        <f t="shared" si="61"/>
        <v>3.3240380800700998E-2</v>
      </c>
      <c r="N82">
        <f t="shared" si="62"/>
        <v>-1.5707963250000001</v>
      </c>
      <c r="O82">
        <f t="shared" si="63"/>
        <v>2.8926839077504014</v>
      </c>
      <c r="P82">
        <f t="shared" si="64"/>
        <v>1.2178119545536643</v>
      </c>
      <c r="Q82">
        <f t="shared" si="65"/>
        <v>3.0260329350834225</v>
      </c>
      <c r="R82">
        <f t="shared" si="66"/>
        <v>1.2339994050895116</v>
      </c>
      <c r="S82">
        <f t="shared" si="67"/>
        <v>0.99998217083596985</v>
      </c>
      <c r="T82">
        <f t="shared" si="68"/>
        <v>-5.9714683303711165E-3</v>
      </c>
      <c r="U82">
        <f t="shared" si="69"/>
        <v>0.98994912649382705</v>
      </c>
      <c r="V82">
        <f t="shared" si="70"/>
        <v>-0.14189965084572728</v>
      </c>
      <c r="X82">
        <f t="shared" si="87"/>
        <v>2.3258385000577912</v>
      </c>
      <c r="Y82">
        <f t="shared" si="71"/>
        <v>-116.28227287542319</v>
      </c>
      <c r="Z82">
        <f t="shared" si="88"/>
        <v>63.717727124576811</v>
      </c>
      <c r="AC82">
        <v>1</v>
      </c>
      <c r="AD82">
        <f t="shared" si="72"/>
        <v>2.7143360496</v>
      </c>
      <c r="AE82">
        <f t="shared" si="73"/>
        <v>-4.0931223278656314E-4</v>
      </c>
      <c r="AF82">
        <f t="shared" si="74"/>
        <v>2.8651324967999998E-3</v>
      </c>
      <c r="AG82">
        <f t="shared" si="89"/>
        <v>879.55613425725437</v>
      </c>
      <c r="AH82">
        <f t="shared" si="90"/>
        <v>-474.6772048737439</v>
      </c>
      <c r="AJ82">
        <f t="shared" si="75"/>
        <v>10500</v>
      </c>
      <c r="AK82">
        <f t="shared" si="76"/>
        <v>62.701162745760008</v>
      </c>
      <c r="AL82">
        <v>1</v>
      </c>
      <c r="AM82">
        <f t="shared" si="77"/>
        <v>2.8560243913891203</v>
      </c>
      <c r="AN82">
        <f t="shared" si="91"/>
        <v>1166.2358252204497</v>
      </c>
      <c r="AO82">
        <f t="shared" si="92"/>
        <v>-3268.096800195663</v>
      </c>
      <c r="AQ82">
        <f t="shared" si="78"/>
        <v>4.3383947939262475</v>
      </c>
      <c r="AR82">
        <f t="shared" si="79"/>
        <v>-208.24295010845987</v>
      </c>
      <c r="AT82">
        <f t="shared" si="52"/>
        <v>-95032.319738318663</v>
      </c>
      <c r="AU82">
        <f t="shared" si="53"/>
        <v>-185220.70129814296</v>
      </c>
      <c r="AV82">
        <f t="shared" si="93"/>
        <v>-2.0448500298456391</v>
      </c>
      <c r="AW82">
        <f t="shared" si="94"/>
        <v>-673715.49611081358</v>
      </c>
      <c r="AX82">
        <f t="shared" si="95"/>
        <v>-262495.48699001485</v>
      </c>
      <c r="AY82">
        <f t="shared" si="103"/>
        <v>-2.7700632904282858</v>
      </c>
      <c r="BA82">
        <f t="shared" si="80"/>
        <v>0.28791703804836677</v>
      </c>
      <c r="BB82">
        <f t="shared" si="96"/>
        <v>-10.814652682886919</v>
      </c>
      <c r="BC82">
        <f t="shared" si="97"/>
        <v>0.72521326058264668</v>
      </c>
      <c r="BD82">
        <f t="shared" si="81"/>
        <v>-138.44834087421347</v>
      </c>
      <c r="BF82">
        <f t="shared" si="82"/>
        <v>2.3222707349270642</v>
      </c>
      <c r="BG82">
        <f t="shared" si="83"/>
        <v>-116.73666592959509</v>
      </c>
      <c r="BH82">
        <f t="shared" si="98"/>
        <v>63.263334070404909</v>
      </c>
      <c r="BI82">
        <f t="shared" si="99"/>
        <v>63.263334070404909</v>
      </c>
      <c r="BJ82">
        <f t="shared" si="84"/>
        <v>0</v>
      </c>
      <c r="BK82">
        <f t="shared" si="100"/>
        <v>0</v>
      </c>
      <c r="BM82">
        <f t="shared" si="101"/>
        <v>13.136923417813984</v>
      </c>
      <c r="BN82">
        <f t="shared" si="85"/>
        <v>-158.28832505538165</v>
      </c>
      <c r="BQ82" s="56">
        <f t="shared" si="102"/>
        <v>6.0873081173982175</v>
      </c>
      <c r="BR82" s="59"/>
      <c r="BS82" s="59"/>
      <c r="BT82" s="59">
        <v>524.80700000000002</v>
      </c>
      <c r="BU82" s="59">
        <v>20.243600000000001</v>
      </c>
      <c r="BV82" s="59">
        <v>-263.95569999999998</v>
      </c>
      <c r="BW82" s="61"/>
      <c r="BY82" s="59"/>
      <c r="BZ82" s="59"/>
      <c r="CA82" s="59"/>
      <c r="CC82" s="59"/>
    </row>
    <row r="83" spans="1:81" x14ac:dyDescent="0.2">
      <c r="A83">
        <f t="shared" si="54"/>
        <v>24500</v>
      </c>
      <c r="B83">
        <f t="shared" si="86"/>
        <v>24.5</v>
      </c>
      <c r="C83">
        <f t="shared" si="55"/>
        <v>1.0001184775820955</v>
      </c>
      <c r="D83">
        <f t="shared" si="56"/>
        <v>1.5392588205379164E-2</v>
      </c>
      <c r="F83">
        <f t="shared" si="57"/>
        <v>0.28764067940937416</v>
      </c>
      <c r="G83">
        <f t="shared" si="58"/>
        <v>0.35273947549772339</v>
      </c>
      <c r="H83">
        <f t="shared" si="59"/>
        <v>-2.7888531745022767</v>
      </c>
      <c r="J83">
        <f t="shared" si="60"/>
        <v>15</v>
      </c>
      <c r="M83">
        <f t="shared" si="61"/>
        <v>3.2562005682319352E-2</v>
      </c>
      <c r="N83">
        <f t="shared" si="62"/>
        <v>-1.5707963250000001</v>
      </c>
      <c r="O83">
        <f t="shared" si="63"/>
        <v>2.9458109437923374</v>
      </c>
      <c r="P83">
        <f t="shared" si="64"/>
        <v>1.2244481583422018</v>
      </c>
      <c r="Q83">
        <f t="shared" si="65"/>
        <v>3.082253305595692</v>
      </c>
      <c r="R83">
        <f t="shared" si="66"/>
        <v>1.2403788316607829</v>
      </c>
      <c r="S83">
        <f t="shared" si="67"/>
        <v>0.999981420236702</v>
      </c>
      <c r="T83">
        <f t="shared" si="68"/>
        <v>-6.0958708701452698E-3</v>
      </c>
      <c r="U83">
        <f t="shared" si="69"/>
        <v>0.98953259892070655</v>
      </c>
      <c r="V83">
        <f t="shared" si="70"/>
        <v>-0.14481514633909068</v>
      </c>
      <c r="X83">
        <f t="shared" si="87"/>
        <v>2.023987979766769</v>
      </c>
      <c r="Y83">
        <f t="shared" si="71"/>
        <v>-116.32996688178739</v>
      </c>
      <c r="Z83">
        <f t="shared" si="88"/>
        <v>63.670033118212615</v>
      </c>
      <c r="AC83">
        <v>1</v>
      </c>
      <c r="AD83">
        <f t="shared" si="72"/>
        <v>2.7708847173000004</v>
      </c>
      <c r="AE83">
        <f t="shared" si="73"/>
        <v>-4.2654456203148342E-4</v>
      </c>
      <c r="AF83">
        <f t="shared" si="74"/>
        <v>2.9248227571499999E-3</v>
      </c>
      <c r="AG83">
        <f t="shared" si="89"/>
        <v>878.81613197194679</v>
      </c>
      <c r="AH83">
        <f t="shared" si="90"/>
        <v>-470.06412226423561</v>
      </c>
      <c r="AJ83">
        <f t="shared" si="75"/>
        <v>10500</v>
      </c>
      <c r="AK83">
        <f t="shared" si="76"/>
        <v>64.007436969630007</v>
      </c>
      <c r="AL83">
        <v>1</v>
      </c>
      <c r="AM83">
        <f t="shared" si="77"/>
        <v>2.91552489954306</v>
      </c>
      <c r="AN83">
        <f t="shared" si="91"/>
        <v>1124.8730729087815</v>
      </c>
      <c r="AO83">
        <f t="shared" si="92"/>
        <v>-3215.588015921438</v>
      </c>
      <c r="AQ83">
        <f t="shared" si="78"/>
        <v>4.1631973355537051</v>
      </c>
      <c r="AR83">
        <f t="shared" si="79"/>
        <v>-203.99666944213155</v>
      </c>
      <c r="AT83">
        <f t="shared" si="52"/>
        <v>-92232.830387075752</v>
      </c>
      <c r="AU83">
        <f t="shared" si="53"/>
        <v>-181232.53367564373</v>
      </c>
      <c r="AV83">
        <f t="shared" si="93"/>
        <v>-2.0415543109001439</v>
      </c>
      <c r="AW83">
        <f t="shared" si="94"/>
        <v>-649543.97573884181</v>
      </c>
      <c r="AX83">
        <f t="shared" si="95"/>
        <v>-248220.47656475715</v>
      </c>
      <c r="AY83">
        <f t="shared" si="103"/>
        <v>-2.7765719716902528</v>
      </c>
      <c r="BA83">
        <f t="shared" si="80"/>
        <v>0.29244308075947584</v>
      </c>
      <c r="BB83">
        <f t="shared" si="96"/>
        <v>-10.67917299283674</v>
      </c>
      <c r="BC83">
        <f t="shared" si="97"/>
        <v>0.73501766079010888</v>
      </c>
      <c r="BD83">
        <f t="shared" si="81"/>
        <v>-137.88659012102681</v>
      </c>
      <c r="BF83">
        <f t="shared" si="82"/>
        <v>2.0206873283069409</v>
      </c>
      <c r="BG83">
        <f t="shared" si="83"/>
        <v>-116.79417654329623</v>
      </c>
      <c r="BH83">
        <f t="shared" si="98"/>
        <v>63.205823456703769</v>
      </c>
      <c r="BI83">
        <f t="shared" si="99"/>
        <v>63.205823456703769</v>
      </c>
      <c r="BJ83">
        <f t="shared" si="84"/>
        <v>0</v>
      </c>
      <c r="BK83">
        <f t="shared" si="100"/>
        <v>0</v>
      </c>
      <c r="BM83">
        <f t="shared" si="101"/>
        <v>12.699860321143682</v>
      </c>
      <c r="BN83">
        <f t="shared" si="85"/>
        <v>-158.90758642226945</v>
      </c>
      <c r="BQ83" s="56">
        <f t="shared" si="102"/>
        <v>6.2227878074483955</v>
      </c>
      <c r="BR83" s="59"/>
      <c r="BS83" s="59"/>
      <c r="BT83" s="59">
        <v>537.03200000000004</v>
      </c>
      <c r="BU83" s="59">
        <v>20.2926</v>
      </c>
      <c r="BV83" s="59">
        <v>-264.56819999999999</v>
      </c>
      <c r="BW83" s="61"/>
      <c r="BY83" s="59"/>
      <c r="BZ83" s="59"/>
      <c r="CA83" s="59"/>
      <c r="CC83" s="59"/>
    </row>
    <row r="84" spans="1:81" x14ac:dyDescent="0.2">
      <c r="A84">
        <f t="shared" si="54"/>
        <v>25000</v>
      </c>
      <c r="B84">
        <f t="shared" si="86"/>
        <v>25</v>
      </c>
      <c r="C84">
        <f t="shared" si="55"/>
        <v>1.0001233624455852</v>
      </c>
      <c r="D84">
        <f t="shared" si="56"/>
        <v>1.5706671513038017E-2</v>
      </c>
      <c r="F84">
        <f t="shared" si="57"/>
        <v>0.27390257534388324</v>
      </c>
      <c r="G84">
        <f t="shared" si="58"/>
        <v>0.34233070790001296</v>
      </c>
      <c r="H84">
        <f t="shared" si="59"/>
        <v>-2.7992619420999874</v>
      </c>
      <c r="J84">
        <f t="shared" si="60"/>
        <v>15</v>
      </c>
      <c r="M84">
        <f t="shared" si="61"/>
        <v>3.1910765568672964E-2</v>
      </c>
      <c r="N84">
        <f t="shared" si="62"/>
        <v>-1.5707963250000001</v>
      </c>
      <c r="O84">
        <f t="shared" si="63"/>
        <v>2.9990631114754085</v>
      </c>
      <c r="P84">
        <f t="shared" si="64"/>
        <v>1.2308489673200766</v>
      </c>
      <c r="Q84">
        <f t="shared" si="65"/>
        <v>3.138594618048451</v>
      </c>
      <c r="R84">
        <f t="shared" si="66"/>
        <v>1.246529465316049</v>
      </c>
      <c r="S84">
        <f t="shared" si="67"/>
        <v>0.99998065416290371</v>
      </c>
      <c r="T84">
        <f t="shared" si="68"/>
        <v>-6.2202732212380792E-3</v>
      </c>
      <c r="U84">
        <f t="shared" si="69"/>
        <v>0.98910802482935312</v>
      </c>
      <c r="V84">
        <f t="shared" si="70"/>
        <v>-0.14772816470005823</v>
      </c>
      <c r="X84">
        <f t="shared" si="87"/>
        <v>1.7326864952904057</v>
      </c>
      <c r="Y84">
        <f t="shared" si="71"/>
        <v>-116.36323638488957</v>
      </c>
      <c r="Z84">
        <f t="shared" si="88"/>
        <v>63.636763615110425</v>
      </c>
      <c r="AC84">
        <v>1</v>
      </c>
      <c r="AD84">
        <f t="shared" si="72"/>
        <v>2.8274333850000004</v>
      </c>
      <c r="AE84">
        <f t="shared" si="73"/>
        <v>-4.4413219703403115E-4</v>
      </c>
      <c r="AF84">
        <f t="shared" si="74"/>
        <v>2.9845130175E-3</v>
      </c>
      <c r="AG84">
        <f t="shared" si="89"/>
        <v>878.06215476263446</v>
      </c>
      <c r="AH84">
        <f t="shared" si="90"/>
        <v>-465.72947270690338</v>
      </c>
      <c r="AJ84">
        <f t="shared" si="75"/>
        <v>10500</v>
      </c>
      <c r="AK84">
        <f t="shared" si="76"/>
        <v>65.313711193500012</v>
      </c>
      <c r="AL84">
        <v>1</v>
      </c>
      <c r="AM84">
        <f t="shared" si="77"/>
        <v>2.9750254076970002</v>
      </c>
      <c r="AN84">
        <f t="shared" si="91"/>
        <v>1085.6311988740729</v>
      </c>
      <c r="AO84">
        <f t="shared" si="92"/>
        <v>-3164.4666888454221</v>
      </c>
      <c r="AQ84">
        <f t="shared" si="78"/>
        <v>3.9984006397441023</v>
      </c>
      <c r="AR84">
        <f t="shared" si="79"/>
        <v>-199.92003198720511</v>
      </c>
      <c r="AT84">
        <f t="shared" si="52"/>
        <v>-89597.806799610291</v>
      </c>
      <c r="AU84">
        <f t="shared" si="53"/>
        <v>-177404.38708851908</v>
      </c>
      <c r="AV84">
        <f t="shared" si="93"/>
        <v>-2.0384745169966241</v>
      </c>
      <c r="AW84">
        <f t="shared" si="94"/>
        <v>-626596.06668899767</v>
      </c>
      <c r="AX84">
        <f t="shared" si="95"/>
        <v>-234964.53024253721</v>
      </c>
      <c r="AY84">
        <f t="shared" si="103"/>
        <v>-2.7828345685551317</v>
      </c>
      <c r="BA84">
        <f t="shared" si="80"/>
        <v>0.29699008402434818</v>
      </c>
      <c r="BB84">
        <f t="shared" si="96"/>
        <v>-10.545161015366185</v>
      </c>
      <c r="BC84">
        <f t="shared" si="97"/>
        <v>0.7443600515585076</v>
      </c>
      <c r="BD84">
        <f t="shared" si="81"/>
        <v>-137.35131055882391</v>
      </c>
      <c r="BF84">
        <f t="shared" si="82"/>
        <v>1.7296579259936216</v>
      </c>
      <c r="BG84">
        <f t="shared" si="83"/>
        <v>-116.83727978709128</v>
      </c>
      <c r="BH84">
        <f t="shared" si="98"/>
        <v>63.162720212908724</v>
      </c>
      <c r="BI84">
        <f t="shared" si="99"/>
        <v>63.162720212908724</v>
      </c>
      <c r="BJ84">
        <f t="shared" si="84"/>
        <v>0</v>
      </c>
      <c r="BK84">
        <f t="shared" si="100"/>
        <v>0</v>
      </c>
      <c r="BM84">
        <f t="shared" si="101"/>
        <v>12.274818941359806</v>
      </c>
      <c r="BN84">
        <f t="shared" si="85"/>
        <v>-159.48596922826735</v>
      </c>
      <c r="BQ84" s="56">
        <f t="shared" si="102"/>
        <v>6.3567997849189517</v>
      </c>
      <c r="BR84" s="59"/>
      <c r="BS84" s="59"/>
      <c r="BT84" s="59">
        <v>549.54100000000005</v>
      </c>
      <c r="BU84" s="59">
        <v>19.992000000000001</v>
      </c>
      <c r="BV84" s="59">
        <v>-264.47620000000001</v>
      </c>
      <c r="BW84" s="61"/>
      <c r="BY84" s="59"/>
      <c r="BZ84" s="59"/>
      <c r="CA84" s="59"/>
      <c r="CC84" s="59"/>
    </row>
    <row r="85" spans="1:81" x14ac:dyDescent="0.2">
      <c r="A85">
        <f t="shared" si="54"/>
        <v>25500</v>
      </c>
      <c r="B85">
        <f t="shared" si="86"/>
        <v>25.5</v>
      </c>
      <c r="C85">
        <f t="shared" si="55"/>
        <v>1.000128345968599</v>
      </c>
      <c r="D85">
        <f t="shared" si="56"/>
        <v>1.6020751721599051E-2</v>
      </c>
      <c r="F85">
        <f t="shared" si="57"/>
        <v>0.26116222100695657</v>
      </c>
      <c r="G85">
        <f t="shared" si="58"/>
        <v>0.33256738906418937</v>
      </c>
      <c r="H85">
        <f t="shared" si="59"/>
        <v>-2.8090252609358108</v>
      </c>
      <c r="J85">
        <f t="shared" si="60"/>
        <v>15</v>
      </c>
      <c r="M85">
        <f t="shared" si="61"/>
        <v>3.1285064283012705E-2</v>
      </c>
      <c r="N85">
        <f t="shared" si="62"/>
        <v>-1.5707963250000001</v>
      </c>
      <c r="O85">
        <f t="shared" si="63"/>
        <v>3.052433861739793</v>
      </c>
      <c r="P85">
        <f t="shared" si="64"/>
        <v>1.2370261902026534</v>
      </c>
      <c r="Q85">
        <f t="shared" si="65"/>
        <v>3.1950504744011456</v>
      </c>
      <c r="R85">
        <f t="shared" si="66"/>
        <v>1.2524629561251932</v>
      </c>
      <c r="S85">
        <f t="shared" si="67"/>
        <v>0.99997987261468146</v>
      </c>
      <c r="T85">
        <f t="shared" si="68"/>
        <v>-6.3446753797994906E-3</v>
      </c>
      <c r="U85">
        <f t="shared" si="69"/>
        <v>0.98867543617510278</v>
      </c>
      <c r="V85">
        <f t="shared" si="70"/>
        <v>-0.15063865971023108</v>
      </c>
      <c r="X85">
        <f t="shared" si="87"/>
        <v>1.4512677877066125</v>
      </c>
      <c r="Y85">
        <f t="shared" si="71"/>
        <v>-116.3846318954659</v>
      </c>
      <c r="Z85">
        <f t="shared" si="88"/>
        <v>63.615368104534099</v>
      </c>
      <c r="AC85">
        <v>1</v>
      </c>
      <c r="AD85">
        <f t="shared" si="72"/>
        <v>2.8839820527000004</v>
      </c>
      <c r="AE85">
        <f t="shared" si="73"/>
        <v>-4.62075137794206E-4</v>
      </c>
      <c r="AF85">
        <f t="shared" si="74"/>
        <v>3.0442032778500001E-3</v>
      </c>
      <c r="AG85">
        <f t="shared" si="89"/>
        <v>877.29427773715713</v>
      </c>
      <c r="AH85">
        <f t="shared" si="90"/>
        <v>-461.65638296796874</v>
      </c>
      <c r="AJ85">
        <f t="shared" si="75"/>
        <v>10500</v>
      </c>
      <c r="AK85">
        <f t="shared" si="76"/>
        <v>66.619985417370003</v>
      </c>
      <c r="AL85">
        <v>1</v>
      </c>
      <c r="AM85">
        <f t="shared" si="77"/>
        <v>3.0345259158509403</v>
      </c>
      <c r="AN85">
        <f t="shared" si="91"/>
        <v>1048.3734058473558</v>
      </c>
      <c r="AO85">
        <f t="shared" si="92"/>
        <v>-3114.6962841153468</v>
      </c>
      <c r="AQ85">
        <f t="shared" si="78"/>
        <v>3.8431975403535743</v>
      </c>
      <c r="AR85">
        <f t="shared" si="79"/>
        <v>-196.0030745580323</v>
      </c>
      <c r="AT85">
        <f t="shared" si="52"/>
        <v>-87114.455240696581</v>
      </c>
      <c r="AU85">
        <f t="shared" si="53"/>
        <v>-173726.61240416212</v>
      </c>
      <c r="AV85">
        <f t="shared" si="93"/>
        <v>-2.0355997922401663</v>
      </c>
      <c r="AW85">
        <f t="shared" si="94"/>
        <v>-604794.36793812073</v>
      </c>
      <c r="AX85">
        <f t="shared" si="95"/>
        <v>-222639.4033468448</v>
      </c>
      <c r="AY85">
        <f t="shared" si="103"/>
        <v>-2.7888637235893912</v>
      </c>
      <c r="BA85">
        <f t="shared" si="80"/>
        <v>0.30155633964980894</v>
      </c>
      <c r="BB85">
        <f t="shared" si="96"/>
        <v>-10.412630737593759</v>
      </c>
      <c r="BC85">
        <f t="shared" si="97"/>
        <v>0.75326393134922487</v>
      </c>
      <c r="BD85">
        <f t="shared" si="81"/>
        <v>-136.84115582494107</v>
      </c>
      <c r="BF85">
        <f t="shared" si="82"/>
        <v>1.4485162374475857</v>
      </c>
      <c r="BG85">
        <f t="shared" si="83"/>
        <v>-116.86852654678118</v>
      </c>
      <c r="BH85">
        <f t="shared" si="98"/>
        <v>63.131473453218817</v>
      </c>
      <c r="BI85">
        <f t="shared" si="99"/>
        <v>63.131473453218817</v>
      </c>
      <c r="BJ85">
        <f t="shared" si="84"/>
        <v>0</v>
      </c>
      <c r="BK85">
        <f t="shared" si="100"/>
        <v>0</v>
      </c>
      <c r="BM85">
        <f t="shared" si="101"/>
        <v>11.861146975041343</v>
      </c>
      <c r="BN85">
        <f t="shared" si="85"/>
        <v>-160.0273707218401</v>
      </c>
      <c r="BQ85" s="56">
        <f t="shared" si="102"/>
        <v>6.4893300626913781</v>
      </c>
      <c r="BR85" s="59"/>
      <c r="BS85" s="59"/>
      <c r="BT85" s="59">
        <v>562.34100000000001</v>
      </c>
      <c r="BU85" s="59">
        <v>19.682300000000001</v>
      </c>
      <c r="BV85" s="59">
        <v>-264.60399999999998</v>
      </c>
      <c r="BW85" s="61"/>
      <c r="BY85" s="59"/>
      <c r="BZ85" s="59"/>
      <c r="CA85" s="59"/>
      <c r="CC85" s="59"/>
    </row>
    <row r="86" spans="1:81" x14ac:dyDescent="0.2">
      <c r="A86">
        <f t="shared" si="54"/>
        <v>26000</v>
      </c>
      <c r="B86">
        <f t="shared" si="86"/>
        <v>26</v>
      </c>
      <c r="C86">
        <f t="shared" si="55"/>
        <v>1.0001334281496621</v>
      </c>
      <c r="D86">
        <f t="shared" si="56"/>
        <v>1.6334828769143314E-2</v>
      </c>
      <c r="F86">
        <f t="shared" si="57"/>
        <v>0.249323272798819</v>
      </c>
      <c r="G86">
        <f t="shared" si="58"/>
        <v>0.32338985307613471</v>
      </c>
      <c r="H86">
        <f t="shared" si="59"/>
        <v>-2.8182027969238654</v>
      </c>
      <c r="J86">
        <f t="shared" si="60"/>
        <v>15</v>
      </c>
      <c r="M86">
        <f t="shared" si="61"/>
        <v>3.0683428431416311E-2</v>
      </c>
      <c r="N86">
        <f t="shared" si="62"/>
        <v>-1.5707963250000001</v>
      </c>
      <c r="O86">
        <f t="shared" si="63"/>
        <v>3.1059170815744812</v>
      </c>
      <c r="P86">
        <f t="shared" si="64"/>
        <v>1.2429908933240021</v>
      </c>
      <c r="Q86">
        <f t="shared" si="65"/>
        <v>3.2516149083863581</v>
      </c>
      <c r="R86">
        <f t="shared" si="66"/>
        <v>1.2581902071620268</v>
      </c>
      <c r="S86">
        <f t="shared" si="67"/>
        <v>0.99997907559214405</v>
      </c>
      <c r="T86">
        <f t="shared" si="68"/>
        <v>-6.4690773419794926E-3</v>
      </c>
      <c r="U86">
        <f t="shared" si="69"/>
        <v>0.9882348654406482</v>
      </c>
      <c r="V86">
        <f t="shared" si="70"/>
        <v>-0.15354658540224408</v>
      </c>
      <c r="X86">
        <f t="shared" si="87"/>
        <v>1.1791190677492138</v>
      </c>
      <c r="Y86">
        <f t="shared" si="71"/>
        <v>-116.39631063381977</v>
      </c>
      <c r="Z86">
        <f t="shared" si="88"/>
        <v>63.603689366180234</v>
      </c>
      <c r="AC86">
        <v>1</v>
      </c>
      <c r="AD86">
        <f t="shared" si="72"/>
        <v>2.9405307204000004</v>
      </c>
      <c r="AE86">
        <f t="shared" si="73"/>
        <v>-4.8037338431200814E-4</v>
      </c>
      <c r="AF86">
        <f t="shared" si="74"/>
        <v>3.1038935382000001E-3</v>
      </c>
      <c r="AG86">
        <f t="shared" si="89"/>
        <v>876.51257718639556</v>
      </c>
      <c r="AH86">
        <f t="shared" si="90"/>
        <v>-457.82927011058564</v>
      </c>
      <c r="AJ86">
        <f t="shared" si="75"/>
        <v>10500</v>
      </c>
      <c r="AK86">
        <f t="shared" si="76"/>
        <v>67.926259641240009</v>
      </c>
      <c r="AL86">
        <v>1</v>
      </c>
      <c r="AM86">
        <f t="shared" si="77"/>
        <v>3.0940264240048805</v>
      </c>
      <c r="AN86">
        <f t="shared" si="91"/>
        <v>1012.9732465807825</v>
      </c>
      <c r="AO86">
        <f t="shared" si="92"/>
        <v>-3066.239732089713</v>
      </c>
      <c r="AQ86">
        <f t="shared" si="78"/>
        <v>3.6968576709796674</v>
      </c>
      <c r="AR86">
        <f t="shared" si="79"/>
        <v>-192.2365988909427</v>
      </c>
      <c r="AT86">
        <f t="shared" ref="AT86:AT149" si="104">-AR86*AH86+AG86*AQ86</f>
        <v>-84771.199514100037</v>
      </c>
      <c r="AU86">
        <f t="shared" ref="AU86:AU149" si="105">AQ86*AH86+AG86*AR86</f>
        <v>-170190.3263726549</v>
      </c>
      <c r="AV86">
        <f t="shared" si="93"/>
        <v>-2.0329199465683283</v>
      </c>
      <c r="AW86">
        <f t="shared" si="94"/>
        <v>-584067.15899408795</v>
      </c>
      <c r="AX86">
        <f t="shared" si="95"/>
        <v>-211165.73581302914</v>
      </c>
      <c r="AY86">
        <f t="shared" si="103"/>
        <v>-2.7946712556914397</v>
      </c>
      <c r="BA86">
        <f t="shared" si="80"/>
        <v>0.30614026277640466</v>
      </c>
      <c r="BB86">
        <f t="shared" si="96"/>
        <v>-10.281590987163536</v>
      </c>
      <c r="BC86">
        <f t="shared" si="97"/>
        <v>0.7617513091231114</v>
      </c>
      <c r="BD86">
        <f t="shared" si="81"/>
        <v>-136.35486489880856</v>
      </c>
      <c r="BF86">
        <f t="shared" si="82"/>
        <v>1.176649441281213</v>
      </c>
      <c r="BG86">
        <f t="shared" si="83"/>
        <v>-116.89007441040771</v>
      </c>
      <c r="BH86">
        <f t="shared" si="98"/>
        <v>63.109925589592294</v>
      </c>
      <c r="BI86">
        <f t="shared" si="99"/>
        <v>63.109925589592294</v>
      </c>
      <c r="BJ86">
        <f t="shared" si="84"/>
        <v>0</v>
      </c>
      <c r="BK86">
        <f t="shared" si="100"/>
        <v>0</v>
      </c>
      <c r="BM86">
        <f t="shared" si="101"/>
        <v>11.45824042844475</v>
      </c>
      <c r="BN86">
        <f t="shared" si="85"/>
        <v>-160.53520951159913</v>
      </c>
      <c r="BQ86" s="56">
        <f t="shared" si="102"/>
        <v>6.6203698131215996</v>
      </c>
      <c r="BR86" s="59"/>
      <c r="BS86" s="59"/>
      <c r="BT86" s="59">
        <v>575.44000000000005</v>
      </c>
      <c r="BU86" s="59">
        <v>19.596</v>
      </c>
      <c r="BV86" s="59">
        <v>-264.9076</v>
      </c>
      <c r="BW86" s="61"/>
      <c r="BY86" s="59"/>
      <c r="BZ86" s="59"/>
      <c r="CA86" s="59"/>
      <c r="CC86" s="59"/>
    </row>
    <row r="87" spans="1:81" x14ac:dyDescent="0.2">
      <c r="A87">
        <f t="shared" si="54"/>
        <v>26500</v>
      </c>
      <c r="B87">
        <f t="shared" si="86"/>
        <v>26.5</v>
      </c>
      <c r="C87">
        <f t="shared" si="55"/>
        <v>1.0001386089872708</v>
      </c>
      <c r="D87">
        <f t="shared" si="56"/>
        <v>1.6648902593755597E-2</v>
      </c>
      <c r="F87">
        <f t="shared" si="57"/>
        <v>0.23830081776935602</v>
      </c>
      <c r="G87">
        <f t="shared" si="58"/>
        <v>0.31474556093324962</v>
      </c>
      <c r="H87">
        <f t="shared" si="59"/>
        <v>-2.8268470890667508</v>
      </c>
      <c r="J87">
        <f t="shared" si="60"/>
        <v>15</v>
      </c>
      <c r="M87">
        <f t="shared" si="61"/>
        <v>3.010449581950279E-2</v>
      </c>
      <c r="N87">
        <f t="shared" si="62"/>
        <v>-1.5707963250000001</v>
      </c>
      <c r="O87">
        <f t="shared" si="63"/>
        <v>3.1595070594277632</v>
      </c>
      <c r="P87">
        <f t="shared" si="64"/>
        <v>1.2487534550929531</v>
      </c>
      <c r="Q87">
        <f t="shared" si="65"/>
        <v>3.3082823506845691</v>
      </c>
      <c r="R87">
        <f t="shared" si="66"/>
        <v>1.2637214307613707</v>
      </c>
      <c r="S87">
        <f t="shared" si="67"/>
        <v>0.99997826309540228</v>
      </c>
      <c r="T87">
        <f t="shared" si="68"/>
        <v>-6.5934791039281068E-3</v>
      </c>
      <c r="U87">
        <f t="shared" si="69"/>
        <v>0.98778634562947387</v>
      </c>
      <c r="V87">
        <f t="shared" si="70"/>
        <v>-0.15645189606365836</v>
      </c>
      <c r="X87">
        <f t="shared" si="87"/>
        <v>0.91567638359378378</v>
      </c>
      <c r="Y87">
        <f t="shared" si="71"/>
        <v>-116.40010048455082</v>
      </c>
      <c r="Z87">
        <f t="shared" si="88"/>
        <v>63.599899515449181</v>
      </c>
      <c r="AC87">
        <v>1</v>
      </c>
      <c r="AD87">
        <f t="shared" si="72"/>
        <v>2.9970793881000004</v>
      </c>
      <c r="AE87">
        <f t="shared" si="73"/>
        <v>-4.9902693658743745E-4</v>
      </c>
      <c r="AF87">
        <f t="shared" si="74"/>
        <v>3.1635837985499998E-3</v>
      </c>
      <c r="AG87">
        <f t="shared" si="89"/>
        <v>875.71713056592216</v>
      </c>
      <c r="AH87">
        <f t="shared" si="90"/>
        <v>-454.23371988505318</v>
      </c>
      <c r="AJ87">
        <f t="shared" si="75"/>
        <v>10500</v>
      </c>
      <c r="AK87">
        <f t="shared" si="76"/>
        <v>69.232533865110014</v>
      </c>
      <c r="AL87">
        <v>1</v>
      </c>
      <c r="AM87">
        <f t="shared" si="77"/>
        <v>3.1535269321588202</v>
      </c>
      <c r="AN87">
        <f t="shared" si="91"/>
        <v>979.31375118074902</v>
      </c>
      <c r="AO87">
        <f t="shared" si="92"/>
        <v>-3019.0597555168633</v>
      </c>
      <c r="AQ87">
        <f t="shared" si="78"/>
        <v>3.5587188612099645</v>
      </c>
      <c r="AR87">
        <f t="shared" si="79"/>
        <v>-188.61209964412811</v>
      </c>
      <c r="AT87">
        <f t="shared" si="104"/>
        <v>-82557.544567053003</v>
      </c>
      <c r="AU87">
        <f t="shared" si="105"/>
        <v>-166787.33679672214</v>
      </c>
      <c r="AV87">
        <f t="shared" si="93"/>
        <v>-2.0304254085388278</v>
      </c>
      <c r="AW87">
        <f t="shared" si="94"/>
        <v>-564347.94469760568</v>
      </c>
      <c r="AX87">
        <f t="shared" si="95"/>
        <v>-200472.0410281689</v>
      </c>
      <c r="AY87">
        <f t="shared" si="103"/>
        <v>-2.8002682235820382</v>
      </c>
      <c r="BA87">
        <f t="shared" si="80"/>
        <v>0.31074038032349821</v>
      </c>
      <c r="BB87">
        <f t="shared" si="96"/>
        <v>-10.152046141069102</v>
      </c>
      <c r="BC87">
        <f t="shared" si="97"/>
        <v>0.76984281504321039</v>
      </c>
      <c r="BD87">
        <f t="shared" si="81"/>
        <v>-135.89125575915202</v>
      </c>
      <c r="BF87">
        <f t="shared" si="82"/>
        <v>0.91349355305206381</v>
      </c>
      <c r="BG87">
        <f t="shared" si="83"/>
        <v>-116.90375162335613</v>
      </c>
      <c r="BH87">
        <f t="shared" si="98"/>
        <v>63.096248376643871</v>
      </c>
      <c r="BI87">
        <f t="shared" si="99"/>
        <v>63.096248376643871</v>
      </c>
      <c r="BJ87">
        <f t="shared" si="84"/>
        <v>0</v>
      </c>
      <c r="BK87">
        <f t="shared" si="100"/>
        <v>0</v>
      </c>
      <c r="BM87">
        <f t="shared" si="101"/>
        <v>11.065539694121167</v>
      </c>
      <c r="BN87">
        <f t="shared" si="85"/>
        <v>-161.01249586420414</v>
      </c>
      <c r="BQ87" s="56">
        <f t="shared" si="102"/>
        <v>6.7499146592160342</v>
      </c>
      <c r="BR87" s="59"/>
      <c r="BS87" s="59"/>
      <c r="BT87" s="59">
        <v>588.84400000000005</v>
      </c>
      <c r="BU87" s="59">
        <v>19.373200000000001</v>
      </c>
      <c r="BV87" s="59">
        <v>-263.88170000000002</v>
      </c>
      <c r="BW87" s="61"/>
      <c r="BY87" s="59"/>
      <c r="BZ87" s="59"/>
      <c r="CA87" s="59"/>
      <c r="CC87" s="59"/>
    </row>
    <row r="88" spans="1:81" x14ac:dyDescent="0.2">
      <c r="A88">
        <f t="shared" si="54"/>
        <v>27000</v>
      </c>
      <c r="B88">
        <f t="shared" si="86"/>
        <v>27</v>
      </c>
      <c r="C88">
        <f t="shared" si="55"/>
        <v>1.0001438884798917</v>
      </c>
      <c r="D88">
        <f t="shared" si="56"/>
        <v>1.6962973133524496E-2</v>
      </c>
      <c r="F88">
        <f t="shared" si="57"/>
        <v>0.22801979369627254</v>
      </c>
      <c r="G88">
        <f t="shared" si="58"/>
        <v>0.3065880796543255</v>
      </c>
      <c r="H88">
        <f t="shared" si="59"/>
        <v>-2.8350045703456748</v>
      </c>
      <c r="J88">
        <f t="shared" si="60"/>
        <v>15</v>
      </c>
      <c r="M88">
        <f t="shared" si="61"/>
        <v>2.9547005156178668E-2</v>
      </c>
      <c r="N88">
        <f t="shared" si="62"/>
        <v>-1.5707963250000001</v>
      </c>
      <c r="O88">
        <f t="shared" si="63"/>
        <v>3.2131984537480545</v>
      </c>
      <c r="P88">
        <f t="shared" si="64"/>
        <v>1.2543236160354558</v>
      </c>
      <c r="Q88">
        <f t="shared" si="65"/>
        <v>3.3650475973160865</v>
      </c>
      <c r="R88">
        <f t="shared" si="66"/>
        <v>1.2690662000457287</v>
      </c>
      <c r="S88">
        <f t="shared" si="67"/>
        <v>0.99997743512456982</v>
      </c>
      <c r="T88">
        <f t="shared" si="68"/>
        <v>-6.7178806617953927E-3</v>
      </c>
      <c r="U88">
        <f t="shared" si="69"/>
        <v>0.98732991025920991</v>
      </c>
      <c r="V88">
        <f t="shared" si="70"/>
        <v>-0.15935454624079301</v>
      </c>
      <c r="X88">
        <f t="shared" si="87"/>
        <v>0.66042031168991344</v>
      </c>
      <c r="Y88">
        <f t="shared" si="71"/>
        <v>-116.3975526699936</v>
      </c>
      <c r="Z88">
        <f t="shared" si="88"/>
        <v>63.602447330006399</v>
      </c>
      <c r="AC88">
        <v>1</v>
      </c>
      <c r="AD88">
        <f t="shared" si="72"/>
        <v>3.0536280558</v>
      </c>
      <c r="AE88">
        <f t="shared" si="73"/>
        <v>-5.1803579462049389E-4</v>
      </c>
      <c r="AF88">
        <f t="shared" si="74"/>
        <v>3.2232740589000003E-3</v>
      </c>
      <c r="AG88">
        <f t="shared" si="89"/>
        <v>874.90801647744263</v>
      </c>
      <c r="AH88">
        <f t="shared" si="90"/>
        <v>-450.85637863249957</v>
      </c>
      <c r="AJ88">
        <f t="shared" si="75"/>
        <v>10500</v>
      </c>
      <c r="AK88">
        <f t="shared" si="76"/>
        <v>70.538808088980019</v>
      </c>
      <c r="AL88">
        <v>1</v>
      </c>
      <c r="AM88">
        <f t="shared" si="77"/>
        <v>3.2130274403127599</v>
      </c>
      <c r="AN88">
        <f t="shared" si="91"/>
        <v>947.28663252591025</v>
      </c>
      <c r="AO88">
        <f t="shared" si="92"/>
        <v>-2973.1191360582397</v>
      </c>
      <c r="AQ88">
        <f t="shared" si="78"/>
        <v>3.4281796366129584</v>
      </c>
      <c r="AR88">
        <f t="shared" si="79"/>
        <v>-185.12170037709976</v>
      </c>
      <c r="AT88">
        <f t="shared" si="104"/>
        <v>-80463.957592312421</v>
      </c>
      <c r="AU88">
        <f t="shared" si="105"/>
        <v>-163510.07634012477</v>
      </c>
      <c r="AV88">
        <f t="shared" si="93"/>
        <v>-2.0281071817271212</v>
      </c>
      <c r="AW88">
        <f t="shared" si="94"/>
        <v>-545575.03702724446</v>
      </c>
      <c r="AX88">
        <f t="shared" si="95"/>
        <v>-190493.82214521698</v>
      </c>
      <c r="AY88">
        <f t="shared" si="103"/>
        <v>-2.8056649837613472</v>
      </c>
      <c r="BA88">
        <f t="shared" si="80"/>
        <v>0.31535532071897399</v>
      </c>
      <c r="BB88">
        <f t="shared" si="96"/>
        <v>-10.02399674263496</v>
      </c>
      <c r="BC88">
        <f t="shared" si="97"/>
        <v>0.77755780203422598</v>
      </c>
      <c r="BD88">
        <f t="shared" si="81"/>
        <v>-135.4492195650634</v>
      </c>
      <c r="BF88">
        <f t="shared" si="82"/>
        <v>0.65852911610263065</v>
      </c>
      <c r="BG88">
        <f t="shared" si="83"/>
        <v>-116.91110976212219</v>
      </c>
      <c r="BH88">
        <f t="shared" si="98"/>
        <v>63.088890237877806</v>
      </c>
      <c r="BI88">
        <f t="shared" si="99"/>
        <v>63.088890237877806</v>
      </c>
      <c r="BJ88">
        <f t="shared" si="84"/>
        <v>0</v>
      </c>
      <c r="BK88">
        <f t="shared" si="100"/>
        <v>0</v>
      </c>
      <c r="BM88">
        <f t="shared" si="101"/>
        <v>10.682525858737593</v>
      </c>
      <c r="BN88">
        <f t="shared" si="85"/>
        <v>-161.46189019705881</v>
      </c>
      <c r="BQ88" s="56">
        <f t="shared" si="102"/>
        <v>6.8779640576501766</v>
      </c>
      <c r="BR88" s="59"/>
      <c r="BS88" s="59"/>
      <c r="BT88" s="59">
        <v>602.55999999999995</v>
      </c>
      <c r="BU88" s="59">
        <v>19.198</v>
      </c>
      <c r="BV88" s="59">
        <v>-264.00260000000003</v>
      </c>
      <c r="BW88" s="61"/>
      <c r="BY88" s="59"/>
      <c r="BZ88" s="59"/>
      <c r="CA88" s="59"/>
      <c r="CC88" s="59"/>
    </row>
    <row r="89" spans="1:81" x14ac:dyDescent="0.2">
      <c r="A89">
        <f t="shared" si="54"/>
        <v>27500</v>
      </c>
      <c r="B89">
        <f t="shared" si="86"/>
        <v>27.5</v>
      </c>
      <c r="C89">
        <f t="shared" si="55"/>
        <v>1.0001492666259626</v>
      </c>
      <c r="D89">
        <f t="shared" si="56"/>
        <v>1.7277040326542509E-2</v>
      </c>
      <c r="F89">
        <f t="shared" si="57"/>
        <v>0.21841365356346087</v>
      </c>
      <c r="G89">
        <f t="shared" si="58"/>
        <v>0.29887622905766958</v>
      </c>
      <c r="H89">
        <f t="shared" si="59"/>
        <v>-2.8427164209423306</v>
      </c>
      <c r="J89">
        <f t="shared" si="60"/>
        <v>15</v>
      </c>
      <c r="M89">
        <f t="shared" si="61"/>
        <v>2.9009786880611781E-2</v>
      </c>
      <c r="N89">
        <f t="shared" si="62"/>
        <v>-1.5707963250000001</v>
      </c>
      <c r="O89">
        <f t="shared" si="63"/>
        <v>3.2669862643422904</v>
      </c>
      <c r="P89">
        <f t="shared" si="64"/>
        <v>1.259710524796765</v>
      </c>
      <c r="Q89">
        <f t="shared" si="65"/>
        <v>3.4219057809202855</v>
      </c>
      <c r="R89">
        <f t="shared" si="66"/>
        <v>1.2742334961450401</v>
      </c>
      <c r="S89">
        <f t="shared" si="67"/>
        <v>0.9999765916797615</v>
      </c>
      <c r="T89">
        <f t="shared" si="68"/>
        <v>-6.8422820117314482E-3</v>
      </c>
      <c r="U89">
        <f t="shared" si="69"/>
        <v>0.98686559335490853</v>
      </c>
      <c r="V89">
        <f t="shared" si="70"/>
        <v>-0.16225449074249476</v>
      </c>
      <c r="X89">
        <f t="shared" si="87"/>
        <v>0.41287198754120324</v>
      </c>
      <c r="Y89">
        <f t="shared" si="71"/>
        <v>-116.389985295222</v>
      </c>
      <c r="Z89">
        <f t="shared" si="88"/>
        <v>63.610014704777996</v>
      </c>
      <c r="AC89">
        <v>1</v>
      </c>
      <c r="AD89">
        <f t="shared" si="72"/>
        <v>3.1101767235</v>
      </c>
      <c r="AE89">
        <f t="shared" si="73"/>
        <v>-5.3739995841117771E-4</v>
      </c>
      <c r="AF89">
        <f t="shared" si="74"/>
        <v>3.2829643192499999E-3</v>
      </c>
      <c r="AG89">
        <f t="shared" si="89"/>
        <v>874.08531465004546</v>
      </c>
      <c r="AH89">
        <f t="shared" si="90"/>
        <v>-447.68485698209452</v>
      </c>
      <c r="AJ89">
        <f t="shared" si="75"/>
        <v>10500</v>
      </c>
      <c r="AK89">
        <f t="shared" si="76"/>
        <v>71.84508231285001</v>
      </c>
      <c r="AL89">
        <v>1</v>
      </c>
      <c r="AM89">
        <f t="shared" si="77"/>
        <v>3.2725279484667005</v>
      </c>
      <c r="AN89">
        <f t="shared" si="91"/>
        <v>916.79156283826455</v>
      </c>
      <c r="AO89">
        <f t="shared" si="92"/>
        <v>-2928.3809299938357</v>
      </c>
      <c r="AQ89">
        <f t="shared" si="78"/>
        <v>3.3046926635822866</v>
      </c>
      <c r="AR89">
        <f t="shared" si="79"/>
        <v>-181.75809649702578</v>
      </c>
      <c r="AT89">
        <f t="shared" si="104"/>
        <v>-78481.764108939708</v>
      </c>
      <c r="AU89">
        <f t="shared" si="105"/>
        <v>-160351.5438292617</v>
      </c>
      <c r="AV89">
        <f t="shared" si="93"/>
        <v>-2.0259568044625444</v>
      </c>
      <c r="AW89">
        <f t="shared" si="94"/>
        <v>-527691.17130271625</v>
      </c>
      <c r="AX89">
        <f t="shared" si="95"/>
        <v>-181172.79834166745</v>
      </c>
      <c r="AY89">
        <f t="shared" si="103"/>
        <v>-2.8108712434581937</v>
      </c>
      <c r="BA89">
        <f t="shared" si="80"/>
        <v>0.31998380475005989</v>
      </c>
      <c r="BB89">
        <f t="shared" si="96"/>
        <v>-9.8974400389563488</v>
      </c>
      <c r="BC89">
        <f t="shared" si="97"/>
        <v>0.78491443899564928</v>
      </c>
      <c r="BD89">
        <f t="shared" si="81"/>
        <v>-135.02771531528225</v>
      </c>
      <c r="BF89">
        <f t="shared" si="82"/>
        <v>0.41127723234798413</v>
      </c>
      <c r="BG89">
        <f t="shared" si="83"/>
        <v>-116.91346727960575</v>
      </c>
      <c r="BH89">
        <f t="shared" si="98"/>
        <v>63.086532720394246</v>
      </c>
      <c r="BI89">
        <f t="shared" si="99"/>
        <v>63.086532720394246</v>
      </c>
      <c r="BJ89">
        <f t="shared" si="84"/>
        <v>0</v>
      </c>
      <c r="BK89">
        <f t="shared" si="100"/>
        <v>0</v>
      </c>
      <c r="BM89">
        <f t="shared" si="101"/>
        <v>10.308717271304332</v>
      </c>
      <c r="BN89">
        <f t="shared" si="85"/>
        <v>-161.88575196432353</v>
      </c>
      <c r="BQ89" s="56">
        <f t="shared" si="102"/>
        <v>7.0045207613287861</v>
      </c>
      <c r="BR89" s="59"/>
      <c r="BS89" s="59"/>
      <c r="BT89" s="59">
        <v>616.59500000000003</v>
      </c>
      <c r="BU89" s="59">
        <v>18.983699999999999</v>
      </c>
      <c r="BV89" s="59">
        <v>-264.13310000000001</v>
      </c>
      <c r="BW89" s="61"/>
      <c r="BY89" s="59"/>
      <c r="BZ89" s="59"/>
      <c r="CA89" s="59"/>
      <c r="CC89" s="59"/>
    </row>
    <row r="90" spans="1:81" x14ac:dyDescent="0.2">
      <c r="A90">
        <f t="shared" si="54"/>
        <v>28000</v>
      </c>
      <c r="B90">
        <f t="shared" si="86"/>
        <v>28</v>
      </c>
      <c r="C90">
        <f t="shared" si="55"/>
        <v>1.0001547434238918</v>
      </c>
      <c r="D90">
        <f t="shared" si="56"/>
        <v>1.759110411090609E-2</v>
      </c>
      <c r="F90">
        <f t="shared" si="57"/>
        <v>0.20942323356184644</v>
      </c>
      <c r="G90">
        <f t="shared" si="58"/>
        <v>0.29157336557882535</v>
      </c>
      <c r="H90">
        <f t="shared" si="59"/>
        <v>-2.8500192844211747</v>
      </c>
      <c r="J90">
        <f t="shared" si="60"/>
        <v>15</v>
      </c>
      <c r="M90">
        <f t="shared" si="61"/>
        <v>2.849175497202943E-2</v>
      </c>
      <c r="N90">
        <f t="shared" si="62"/>
        <v>-1.5707963250000001</v>
      </c>
      <c r="O90">
        <f t="shared" si="63"/>
        <v>3.3208658062726344</v>
      </c>
      <c r="P90">
        <f t="shared" si="64"/>
        <v>1.2649227804468477</v>
      </c>
      <c r="Q90">
        <f t="shared" si="65"/>
        <v>3.4788523446288613</v>
      </c>
      <c r="R90">
        <f t="shared" si="66"/>
        <v>1.2792317514951093</v>
      </c>
      <c r="S90">
        <f t="shared" si="67"/>
        <v>0.99997573276109497</v>
      </c>
      <c r="T90">
        <f t="shared" si="68"/>
        <v>-6.9666831498864101E-3</v>
      </c>
      <c r="U90">
        <f t="shared" si="69"/>
        <v>0.98639342944224551</v>
      </c>
      <c r="V90">
        <f t="shared" si="70"/>
        <v>-0.16515168464384505</v>
      </c>
      <c r="X90">
        <f t="shared" si="87"/>
        <v>0.17258947455111615</v>
      </c>
      <c r="Y90">
        <f t="shared" si="71"/>
        <v>-116.3785194777457</v>
      </c>
      <c r="Z90">
        <f t="shared" si="88"/>
        <v>63.621480522254302</v>
      </c>
      <c r="AC90">
        <v>1</v>
      </c>
      <c r="AD90">
        <f t="shared" si="72"/>
        <v>3.1667253912000004</v>
      </c>
      <c r="AE90">
        <f t="shared" si="73"/>
        <v>-5.5711942795948861E-4</v>
      </c>
      <c r="AF90">
        <f t="shared" si="74"/>
        <v>3.3426545795999995E-3</v>
      </c>
      <c r="AG90">
        <f t="shared" si="89"/>
        <v>873.24910592125843</v>
      </c>
      <c r="AH90">
        <f t="shared" si="90"/>
        <v>-444.70764386754843</v>
      </c>
      <c r="AJ90">
        <f t="shared" si="75"/>
        <v>10500</v>
      </c>
      <c r="AK90">
        <f t="shared" si="76"/>
        <v>73.151356536720002</v>
      </c>
      <c r="AL90">
        <v>1</v>
      </c>
      <c r="AM90">
        <f t="shared" si="77"/>
        <v>3.3320284566206402</v>
      </c>
      <c r="AN90">
        <f t="shared" si="91"/>
        <v>887.73551499695952</v>
      </c>
      <c r="AO90">
        <f t="shared" si="92"/>
        <v>-2884.8086413859282</v>
      </c>
      <c r="AQ90">
        <f t="shared" si="78"/>
        <v>3.1877590054191902</v>
      </c>
      <c r="AR90">
        <f t="shared" si="79"/>
        <v>-178.51450430347467</v>
      </c>
      <c r="AT90">
        <f t="shared" si="104"/>
        <v>-76603.056903606805</v>
      </c>
      <c r="AU90">
        <f t="shared" si="105"/>
        <v>-157305.25207350342</v>
      </c>
      <c r="AV90">
        <f t="shared" si="93"/>
        <v>-2.023966312647238</v>
      </c>
      <c r="AW90">
        <f t="shared" si="94"/>
        <v>-510643.15422868589</v>
      </c>
      <c r="AX90">
        <f t="shared" si="95"/>
        <v>-172456.22609106262</v>
      </c>
      <c r="AY90">
        <f t="shared" si="103"/>
        <v>-2.8158961090446759</v>
      </c>
      <c r="BA90">
        <f t="shared" si="80"/>
        <v>0.32462463739511727</v>
      </c>
      <c r="BB90">
        <f t="shared" si="96"/>
        <v>-9.7723704493637236</v>
      </c>
      <c r="BC90">
        <f t="shared" si="97"/>
        <v>0.79192979639743788</v>
      </c>
      <c r="BD90">
        <f t="shared" si="81"/>
        <v>-134.62576494392459</v>
      </c>
      <c r="BF90">
        <f t="shared" si="82"/>
        <v>0.17129593112922334</v>
      </c>
      <c r="BG90">
        <f t="shared" si="83"/>
        <v>-116.91194563506173</v>
      </c>
      <c r="BH90">
        <f t="shared" si="98"/>
        <v>63.088054364938273</v>
      </c>
      <c r="BI90">
        <f t="shared" si="99"/>
        <v>63.088054364938273</v>
      </c>
      <c r="BJ90">
        <f t="shared" si="84"/>
        <v>28000</v>
      </c>
      <c r="BK90">
        <f t="shared" si="100"/>
        <v>63.088054364938273</v>
      </c>
      <c r="BM90">
        <f t="shared" si="101"/>
        <v>9.9436663804929442</v>
      </c>
      <c r="BN90">
        <f t="shared" si="85"/>
        <v>-162.28618069113713</v>
      </c>
      <c r="BQ90" s="56">
        <f t="shared" si="102"/>
        <v>7.129590350921414</v>
      </c>
      <c r="BR90" s="59"/>
      <c r="BS90" s="59"/>
      <c r="BT90" s="59">
        <v>630.95699999999999</v>
      </c>
      <c r="BU90" s="59">
        <v>18.802900000000001</v>
      </c>
      <c r="BV90" s="59">
        <v>-263.74850000000004</v>
      </c>
      <c r="BW90" s="61"/>
      <c r="BY90" s="59"/>
      <c r="BZ90" s="59"/>
      <c r="CA90" s="59"/>
      <c r="CC90" s="59"/>
    </row>
    <row r="91" spans="1:81" x14ac:dyDescent="0.2">
      <c r="A91">
        <f t="shared" si="54"/>
        <v>28500</v>
      </c>
      <c r="B91">
        <f t="shared" si="86"/>
        <v>28.5</v>
      </c>
      <c r="C91">
        <f t="shared" si="55"/>
        <v>1.0001603188720589</v>
      </c>
      <c r="D91">
        <f t="shared" si="56"/>
        <v>1.7905164424715708E-2</v>
      </c>
      <c r="F91">
        <f t="shared" si="57"/>
        <v>0.20099579086443531</v>
      </c>
      <c r="G91">
        <f t="shared" si="58"/>
        <v>0.28464677858243054</v>
      </c>
      <c r="H91">
        <f t="shared" si="59"/>
        <v>-2.8569458714175697</v>
      </c>
      <c r="J91">
        <f t="shared" si="60"/>
        <v>15</v>
      </c>
      <c r="M91">
        <f t="shared" si="61"/>
        <v>2.7991899621642946E-2</v>
      </c>
      <c r="N91">
        <f t="shared" si="62"/>
        <v>-1.5707963250000001</v>
      </c>
      <c r="O91">
        <f t="shared" si="63"/>
        <v>3.3748326860420326</v>
      </c>
      <c r="P91">
        <f t="shared" si="64"/>
        <v>1.2699684714040127</v>
      </c>
      <c r="Q91">
        <f t="shared" si="65"/>
        <v>3.5358830182720884</v>
      </c>
      <c r="R91">
        <f t="shared" si="66"/>
        <v>1.2840688895653818</v>
      </c>
      <c r="S91">
        <f t="shared" si="67"/>
        <v>0.99997485836868982</v>
      </c>
      <c r="T91">
        <f t="shared" si="68"/>
        <v>-7.0910840724104536E-3</v>
      </c>
      <c r="U91">
        <f t="shared" si="69"/>
        <v>0.98591345354064641</v>
      </c>
      <c r="V91">
        <f t="shared" si="70"/>
        <v>-0.16804608328980422</v>
      </c>
      <c r="X91">
        <f t="shared" si="87"/>
        <v>-6.0835542141888327E-2</v>
      </c>
      <c r="Y91">
        <f t="shared" si="71"/>
        <v>-116.36410943010748</v>
      </c>
      <c r="Z91">
        <f t="shared" si="88"/>
        <v>63.635890569892524</v>
      </c>
      <c r="AC91">
        <v>1</v>
      </c>
      <c r="AD91">
        <f t="shared" si="72"/>
        <v>3.2232740589000004</v>
      </c>
      <c r="AE91">
        <f t="shared" si="73"/>
        <v>-5.771942032654269E-4</v>
      </c>
      <c r="AF91">
        <f t="shared" si="74"/>
        <v>3.40234483995E-3</v>
      </c>
      <c r="AG91">
        <f t="shared" si="89"/>
        <v>872.39947221792784</v>
      </c>
      <c r="AH91">
        <f t="shared" si="90"/>
        <v>-441.91402959557195</v>
      </c>
      <c r="AJ91">
        <f t="shared" si="75"/>
        <v>10500</v>
      </c>
      <c r="AK91">
        <f t="shared" si="76"/>
        <v>74.457630760590007</v>
      </c>
      <c r="AL91">
        <v>1</v>
      </c>
      <c r="AM91">
        <f t="shared" si="77"/>
        <v>3.3915289647745803</v>
      </c>
      <c r="AN91">
        <f t="shared" si="91"/>
        <v>860.03216269713027</v>
      </c>
      <c r="AO91">
        <f t="shared" si="92"/>
        <v>-2842.3663596644519</v>
      </c>
      <c r="AQ91">
        <f t="shared" si="78"/>
        <v>3.0769230769230771</v>
      </c>
      <c r="AR91">
        <f t="shared" si="79"/>
        <v>-175.38461538461539</v>
      </c>
      <c r="AT91">
        <f t="shared" si="104"/>
        <v>-74820.616045322065</v>
      </c>
      <c r="AU91">
        <f t="shared" si="105"/>
        <v>-154365.18137236143</v>
      </c>
      <c r="AV91">
        <f t="shared" si="93"/>
        <v>-2.0221282054181819</v>
      </c>
      <c r="AW91">
        <f t="shared" si="94"/>
        <v>-494381.54131208477</v>
      </c>
      <c r="AX91">
        <f t="shared" si="95"/>
        <v>-164296.30270272685</v>
      </c>
      <c r="AY91">
        <f t="shared" si="103"/>
        <v>-2.8207481303420305</v>
      </c>
      <c r="BA91">
        <f t="shared" si="80"/>
        <v>0.32927670051592905</v>
      </c>
      <c r="BB91">
        <f t="shared" si="96"/>
        <v>-9.6487799740009663</v>
      </c>
      <c r="BC91">
        <f t="shared" si="97"/>
        <v>0.79861992492384859</v>
      </c>
      <c r="BD91">
        <f t="shared" si="81"/>
        <v>-134.24244881452319</v>
      </c>
      <c r="BF91">
        <f t="shared" si="82"/>
        <v>-6.1823136943558177E-2</v>
      </c>
      <c r="BG91">
        <f t="shared" si="83"/>
        <v>-116.90749937692301</v>
      </c>
      <c r="BH91">
        <f t="shared" si="98"/>
        <v>63.092500623076987</v>
      </c>
      <c r="BI91">
        <f t="shared" si="99"/>
        <v>63.092500623076987</v>
      </c>
      <c r="BJ91">
        <f t="shared" si="84"/>
        <v>0</v>
      </c>
      <c r="BK91">
        <f t="shared" si="100"/>
        <v>0</v>
      </c>
      <c r="BM91">
        <f t="shared" si="101"/>
        <v>9.5869568370574108</v>
      </c>
      <c r="BN91">
        <f t="shared" si="85"/>
        <v>-162.66505056239981</v>
      </c>
      <c r="BQ91" s="56">
        <f t="shared" si="102"/>
        <v>7.2531808262841704</v>
      </c>
      <c r="BR91" s="59"/>
      <c r="BS91" s="59"/>
      <c r="BT91" s="59">
        <v>645.654</v>
      </c>
      <c r="BU91" s="59">
        <v>18.598600000000001</v>
      </c>
      <c r="BV91" s="59">
        <v>-263.7636</v>
      </c>
      <c r="BW91" s="61"/>
      <c r="BY91" s="59"/>
      <c r="BZ91" s="59"/>
      <c r="CA91" s="59"/>
      <c r="CC91" s="59"/>
    </row>
    <row r="92" spans="1:81" x14ac:dyDescent="0.2">
      <c r="A92">
        <f t="shared" si="54"/>
        <v>29000</v>
      </c>
      <c r="B92">
        <f t="shared" si="86"/>
        <v>29</v>
      </c>
      <c r="C92">
        <f t="shared" si="55"/>
        <v>1.000165992968814</v>
      </c>
      <c r="D92">
        <f t="shared" si="56"/>
        <v>1.821922120607597E-2</v>
      </c>
      <c r="F92">
        <f t="shared" si="57"/>
        <v>0.19308418332490637</v>
      </c>
      <c r="G92">
        <f t="shared" si="58"/>
        <v>0.27806717941692027</v>
      </c>
      <c r="H92">
        <f t="shared" si="59"/>
        <v>-2.8635254705830802</v>
      </c>
      <c r="J92">
        <f t="shared" si="60"/>
        <v>15</v>
      </c>
      <c r="M92">
        <f t="shared" si="61"/>
        <v>2.7509280662649106E-2</v>
      </c>
      <c r="N92">
        <f t="shared" si="62"/>
        <v>-1.5707963250000001</v>
      </c>
      <c r="O92">
        <f t="shared" si="63"/>
        <v>3.4288827798456247</v>
      </c>
      <c r="P92">
        <f t="shared" si="64"/>
        <v>1.2748552112652161</v>
      </c>
      <c r="Q92">
        <f t="shared" si="65"/>
        <v>3.5929937966856134</v>
      </c>
      <c r="R92">
        <f t="shared" si="66"/>
        <v>1.2887523613346441</v>
      </c>
      <c r="S92">
        <f t="shared" si="67"/>
        <v>0.99997396850266818</v>
      </c>
      <c r="T92">
        <f t="shared" si="68"/>
        <v>-7.2154847754537926E-3</v>
      </c>
      <c r="U92">
        <f t="shared" si="69"/>
        <v>0.98542570115634476</v>
      </c>
      <c r="V92">
        <f t="shared" si="70"/>
        <v>-0.17093764229879194</v>
      </c>
      <c r="X92">
        <f t="shared" si="87"/>
        <v>-0.28778075616602955</v>
      </c>
      <c r="Y92">
        <f t="shared" si="71"/>
        <v>-116.34756759226889</v>
      </c>
      <c r="Z92">
        <f t="shared" si="88"/>
        <v>63.652432407731112</v>
      </c>
      <c r="AC92">
        <v>1</v>
      </c>
      <c r="AD92">
        <f t="shared" si="72"/>
        <v>3.2798227266000004</v>
      </c>
      <c r="AE92">
        <f t="shared" si="73"/>
        <v>-5.9762428432899237E-4</v>
      </c>
      <c r="AF92">
        <f t="shared" si="74"/>
        <v>3.4620351003000001E-3</v>
      </c>
      <c r="AG92">
        <f t="shared" si="89"/>
        <v>871.53649653692366</v>
      </c>
      <c r="AH92">
        <f t="shared" si="90"/>
        <v>-439.29403687377055</v>
      </c>
      <c r="AJ92">
        <f t="shared" si="75"/>
        <v>10500</v>
      </c>
      <c r="AK92">
        <f t="shared" si="76"/>
        <v>75.763904984460012</v>
      </c>
      <c r="AL92">
        <v>1</v>
      </c>
      <c r="AM92">
        <f t="shared" si="77"/>
        <v>3.45102947292852</v>
      </c>
      <c r="AN92">
        <f t="shared" si="91"/>
        <v>833.60133404978262</v>
      </c>
      <c r="AO92">
        <f t="shared" si="92"/>
        <v>-2801.0188674938722</v>
      </c>
      <c r="AQ92">
        <f t="shared" si="78"/>
        <v>2.9717682020802378</v>
      </c>
      <c r="AR92">
        <f t="shared" si="79"/>
        <v>-172.3625557206538</v>
      </c>
      <c r="AT92">
        <f t="shared" si="104"/>
        <v>-73127.83846104538</v>
      </c>
      <c r="AU92">
        <f t="shared" si="105"/>
        <v>-151525.73799707383</v>
      </c>
      <c r="AV92">
        <f t="shared" si="93"/>
        <v>-2.0204354134288396</v>
      </c>
      <c r="AW92">
        <f t="shared" si="94"/>
        <v>-478860.34130442503</v>
      </c>
      <c r="AX92">
        <f t="shared" si="95"/>
        <v>-156649.6412300235</v>
      </c>
      <c r="AY92">
        <f t="shared" si="103"/>
        <v>-2.8254353412012305</v>
      </c>
      <c r="BA92">
        <f t="shared" si="80"/>
        <v>0.33393894630662108</v>
      </c>
      <c r="BB92">
        <f t="shared" si="96"/>
        <v>-9.5266585503475518</v>
      </c>
      <c r="BC92">
        <f t="shared" si="97"/>
        <v>0.80499992777239093</v>
      </c>
      <c r="BD92">
        <f t="shared" si="81"/>
        <v>-133.87690157760255</v>
      </c>
      <c r="BF92">
        <f t="shared" si="82"/>
        <v>-0.28845770048517094</v>
      </c>
      <c r="BG92">
        <f t="shared" si="83"/>
        <v>-116.90094127538475</v>
      </c>
      <c r="BH92">
        <f t="shared" si="98"/>
        <v>63.099058724615247</v>
      </c>
      <c r="BI92">
        <f t="shared" si="99"/>
        <v>63.099058724615247</v>
      </c>
      <c r="BJ92">
        <f t="shared" si="84"/>
        <v>0</v>
      </c>
      <c r="BK92">
        <f t="shared" si="100"/>
        <v>0</v>
      </c>
      <c r="BM92">
        <f t="shared" si="101"/>
        <v>9.2382008498623804</v>
      </c>
      <c r="BN92">
        <f t="shared" si="85"/>
        <v>-163.0240396977822</v>
      </c>
      <c r="BQ92" s="56">
        <f t="shared" si="102"/>
        <v>7.3753022499375867</v>
      </c>
      <c r="BR92" s="59"/>
      <c r="BS92" s="59"/>
      <c r="BT92" s="59">
        <v>660.69299999999998</v>
      </c>
      <c r="BU92" s="59">
        <v>18.468</v>
      </c>
      <c r="BV92" s="59">
        <v>-263.60980000000001</v>
      </c>
      <c r="BW92" s="61"/>
      <c r="BY92" s="59"/>
      <c r="BZ92" s="59"/>
      <c r="CA92" s="59"/>
      <c r="CC92" s="59"/>
    </row>
    <row r="93" spans="1:81" x14ac:dyDescent="0.2">
      <c r="A93">
        <f t="shared" si="54"/>
        <v>29500</v>
      </c>
      <c r="B93">
        <f t="shared" si="86"/>
        <v>29.5</v>
      </c>
      <c r="C93">
        <f t="shared" si="55"/>
        <v>1.0001717657124785</v>
      </c>
      <c r="D93">
        <f t="shared" si="56"/>
        <v>1.8533274393095638E-2</v>
      </c>
      <c r="F93">
        <f t="shared" si="57"/>
        <v>0.18564616810361956</v>
      </c>
      <c r="G93">
        <f t="shared" si="58"/>
        <v>0.27180826725222934</v>
      </c>
      <c r="H93">
        <f t="shared" si="59"/>
        <v>-2.8697843827477709</v>
      </c>
      <c r="J93">
        <f t="shared" si="60"/>
        <v>15</v>
      </c>
      <c r="M93">
        <f t="shared" si="61"/>
        <v>2.7043021668366914E-2</v>
      </c>
      <c r="N93">
        <f t="shared" si="62"/>
        <v>-1.5707963250000001</v>
      </c>
      <c r="O93">
        <f t="shared" si="63"/>
        <v>3.4830122136885087</v>
      </c>
      <c r="P93">
        <f t="shared" si="64"/>
        <v>1.2795901718068088</v>
      </c>
      <c r="Q93">
        <f t="shared" si="65"/>
        <v>3.6501809199105213</v>
      </c>
      <c r="R93">
        <f t="shared" si="66"/>
        <v>1.2932891788038965</v>
      </c>
      <c r="S93">
        <f t="shared" si="67"/>
        <v>0.9999730631631536</v>
      </c>
      <c r="T93">
        <f t="shared" si="68"/>
        <v>-7.3398852551666864E-3</v>
      </c>
      <c r="U93">
        <f t="shared" si="69"/>
        <v>0.98493020827537137</v>
      </c>
      <c r="V93">
        <f t="shared" si="70"/>
        <v>-0.17382631756620306</v>
      </c>
      <c r="X93">
        <f t="shared" si="87"/>
        <v>-0.50859595713914896</v>
      </c>
      <c r="Y93">
        <f t="shared" si="71"/>
        <v>-116.32958569652919</v>
      </c>
      <c r="Z93">
        <f t="shared" si="88"/>
        <v>63.670414303470807</v>
      </c>
      <c r="AC93">
        <v>1</v>
      </c>
      <c r="AD93">
        <f t="shared" si="72"/>
        <v>3.3363713943000004</v>
      </c>
      <c r="AE93">
        <f t="shared" si="73"/>
        <v>-6.184096711501849E-4</v>
      </c>
      <c r="AF93">
        <f t="shared" si="74"/>
        <v>3.5217253606499997E-3</v>
      </c>
      <c r="AG93">
        <f t="shared" si="89"/>
        <v>870.66026292568085</v>
      </c>
      <c r="AH93">
        <f t="shared" si="90"/>
        <v>-436.83835885358729</v>
      </c>
      <c r="AJ93">
        <f t="shared" si="75"/>
        <v>10500</v>
      </c>
      <c r="AK93">
        <f t="shared" si="76"/>
        <v>77.070179208330018</v>
      </c>
      <c r="AL93">
        <v>1</v>
      </c>
      <c r="AM93">
        <f t="shared" si="77"/>
        <v>3.5105299810824606</v>
      </c>
      <c r="AN93">
        <f t="shared" si="91"/>
        <v>808.36851368713133</v>
      </c>
      <c r="AO93">
        <f t="shared" si="92"/>
        <v>-2760.7317238534124</v>
      </c>
      <c r="AQ93">
        <f t="shared" si="78"/>
        <v>2.8719126938541066</v>
      </c>
      <c r="AR93">
        <f t="shared" si="79"/>
        <v>-169.44284893739231</v>
      </c>
      <c r="AT93">
        <f t="shared" si="104"/>
        <v>-71518.67578815615</v>
      </c>
      <c r="AU93">
        <f t="shared" si="105"/>
        <v>-148781.71703466043</v>
      </c>
      <c r="AV93">
        <f t="shared" si="93"/>
        <v>-2.0188812695427827</v>
      </c>
      <c r="AW93">
        <f t="shared" si="94"/>
        <v>-464036.7454555853</v>
      </c>
      <c r="AX93">
        <f t="shared" si="95"/>
        <v>-149476.80740691302</v>
      </c>
      <c r="AY93">
        <f t="shared" si="103"/>
        <v>-2.8299652967036448</v>
      </c>
      <c r="BA93">
        <f t="shared" si="80"/>
        <v>0.33861039140944127</v>
      </c>
      <c r="BB93">
        <f t="shared" si="96"/>
        <v>-9.4059943644393957</v>
      </c>
      <c r="BC93">
        <f t="shared" si="97"/>
        <v>0.81108402716086214</v>
      </c>
      <c r="BD93">
        <f t="shared" si="81"/>
        <v>-133.52830836010673</v>
      </c>
      <c r="BF93">
        <f t="shared" si="82"/>
        <v>-0.50895758455033147</v>
      </c>
      <c r="BG93">
        <f t="shared" si="83"/>
        <v>-116.89296338749912</v>
      </c>
      <c r="BH93">
        <f t="shared" si="98"/>
        <v>63.107036612500877</v>
      </c>
      <c r="BI93">
        <f t="shared" si="99"/>
        <v>63.107036612500877</v>
      </c>
      <c r="BJ93">
        <f t="shared" si="84"/>
        <v>0</v>
      </c>
      <c r="BK93">
        <f t="shared" si="100"/>
        <v>0</v>
      </c>
      <c r="BM93">
        <f t="shared" si="101"/>
        <v>8.8970367798890635</v>
      </c>
      <c r="BN93">
        <f t="shared" si="85"/>
        <v>-163.36465502739242</v>
      </c>
      <c r="BQ93" s="56">
        <f t="shared" si="102"/>
        <v>7.4959664358457401</v>
      </c>
      <c r="BR93" s="59"/>
      <c r="BS93" s="59"/>
      <c r="BT93" s="59">
        <v>676.08299999999997</v>
      </c>
      <c r="BU93" s="59">
        <v>18.2744</v>
      </c>
      <c r="BV93" s="59">
        <v>-263.3252</v>
      </c>
      <c r="BW93" s="61"/>
      <c r="BY93" s="59"/>
      <c r="BZ93" s="59"/>
      <c r="CA93" s="59"/>
      <c r="CC93" s="59"/>
    </row>
    <row r="94" spans="1:81" x14ac:dyDescent="0.2">
      <c r="A94">
        <f t="shared" si="54"/>
        <v>30000</v>
      </c>
      <c r="B94">
        <f t="shared" si="86"/>
        <v>30</v>
      </c>
      <c r="C94">
        <f t="shared" si="55"/>
        <v>1.0001776371013438</v>
      </c>
      <c r="D94">
        <f t="shared" si="56"/>
        <v>1.8847323923887733E-2</v>
      </c>
      <c r="F94">
        <f t="shared" si="57"/>
        <v>0.17864380020995882</v>
      </c>
      <c r="G94">
        <f t="shared" si="58"/>
        <v>0.26584635875032081</v>
      </c>
      <c r="H94">
        <f t="shared" si="59"/>
        <v>-2.8757462912496794</v>
      </c>
      <c r="J94">
        <f t="shared" si="60"/>
        <v>15</v>
      </c>
      <c r="M94">
        <f t="shared" si="61"/>
        <v>2.6592304640560803E-2</v>
      </c>
      <c r="N94">
        <f t="shared" si="62"/>
        <v>-1.5707963250000001</v>
      </c>
      <c r="O94">
        <f t="shared" si="63"/>
        <v>3.5372173451912849</v>
      </c>
      <c r="P94">
        <f t="shared" si="64"/>
        <v>1.2841801133966793</v>
      </c>
      <c r="Q94">
        <f t="shared" si="65"/>
        <v>3.7074408551017357</v>
      </c>
      <c r="R94">
        <f t="shared" si="66"/>
        <v>1.2976859458088672</v>
      </c>
      <c r="S94">
        <f t="shared" si="67"/>
        <v>0.99997214235027232</v>
      </c>
      <c r="T94">
        <f t="shared" si="68"/>
        <v>-7.4642855076994296E-3</v>
      </c>
      <c r="U94">
        <f t="shared" si="69"/>
        <v>0.98442701135647859</v>
      </c>
      <c r="V94">
        <f t="shared" si="70"/>
        <v>-0.17671206526785918</v>
      </c>
      <c r="X94">
        <f t="shared" si="87"/>
        <v>-0.72360548802766789</v>
      </c>
      <c r="Y94">
        <f t="shared" si="71"/>
        <v>-116.31075247812434</v>
      </c>
      <c r="Z94">
        <f t="shared" si="88"/>
        <v>63.689247521875657</v>
      </c>
      <c r="AC94">
        <v>1</v>
      </c>
      <c r="AD94">
        <f t="shared" si="72"/>
        <v>3.3929200620000004</v>
      </c>
      <c r="AE94">
        <f t="shared" si="73"/>
        <v>-6.3955036372900472E-4</v>
      </c>
      <c r="AF94">
        <f t="shared" si="74"/>
        <v>3.5814156210000002E-3</v>
      </c>
      <c r="AG94">
        <f t="shared" si="89"/>
        <v>869.77085646258274</v>
      </c>
      <c r="AH94">
        <f t="shared" si="90"/>
        <v>-434.53830336982622</v>
      </c>
      <c r="AJ94">
        <f t="shared" si="75"/>
        <v>10500</v>
      </c>
      <c r="AK94">
        <f t="shared" si="76"/>
        <v>78.376453432200009</v>
      </c>
      <c r="AL94">
        <v>1</v>
      </c>
      <c r="AM94">
        <f t="shared" si="77"/>
        <v>3.5700304892364003</v>
      </c>
      <c r="AN94">
        <f t="shared" si="91"/>
        <v>784.26438887722179</v>
      </c>
      <c r="AO94">
        <f t="shared" si="92"/>
        <v>-2721.4713264818347</v>
      </c>
      <c r="AQ94">
        <f t="shared" si="78"/>
        <v>2.7770063871146902</v>
      </c>
      <c r="AR94">
        <f t="shared" si="79"/>
        <v>-166.62038322688142</v>
      </c>
      <c r="AT94">
        <f t="shared" si="104"/>
        <v>-69987.579410516497</v>
      </c>
      <c r="AU94">
        <f t="shared" si="105"/>
        <v>-146128.2690672724</v>
      </c>
      <c r="AV94">
        <f t="shared" si="93"/>
        <v>-2.0174594817470322</v>
      </c>
      <c r="AW94">
        <f t="shared" si="94"/>
        <v>-449870.8795087703</v>
      </c>
      <c r="AX94">
        <f t="shared" si="95"/>
        <v>-142741.91059346413</v>
      </c>
      <c r="AY94">
        <f t="shared" si="103"/>
        <v>-2.8343451072928616</v>
      </c>
      <c r="BA94">
        <f t="shared" si="80"/>
        <v>0.34329011161958395</v>
      </c>
      <c r="BB94">
        <f t="shared" si="96"/>
        <v>-9.2867741226239193</v>
      </c>
      <c r="BC94">
        <f t="shared" si="97"/>
        <v>0.81688562554582944</v>
      </c>
      <c r="BD94">
        <f t="shared" si="81"/>
        <v>-133.19590125783836</v>
      </c>
      <c r="BF94">
        <f t="shared" si="82"/>
        <v>-0.72364716798472883</v>
      </c>
      <c r="BG94">
        <f t="shared" si="83"/>
        <v>-116.88415476793057</v>
      </c>
      <c r="BH94">
        <f t="shared" si="98"/>
        <v>63.115845232069432</v>
      </c>
      <c r="BI94">
        <f t="shared" si="99"/>
        <v>63.115845232069432</v>
      </c>
      <c r="BJ94">
        <f t="shared" si="84"/>
        <v>0</v>
      </c>
      <c r="BK94">
        <f t="shared" si="100"/>
        <v>0</v>
      </c>
      <c r="BM94">
        <f t="shared" si="101"/>
        <v>8.5631269546391913</v>
      </c>
      <c r="BN94">
        <f t="shared" si="85"/>
        <v>-163.68825351009224</v>
      </c>
      <c r="BQ94" s="56">
        <f t="shared" si="102"/>
        <v>7.6151866776612192</v>
      </c>
      <c r="BR94" s="59"/>
      <c r="BS94" s="59"/>
      <c r="BT94" s="59">
        <v>691.83100000000002</v>
      </c>
      <c r="BU94" s="59">
        <v>18.092600000000001</v>
      </c>
      <c r="BV94" s="59">
        <v>-263.57819999999998</v>
      </c>
      <c r="BW94" s="61"/>
      <c r="BY94" s="59"/>
      <c r="BZ94" s="59"/>
      <c r="CA94" s="59"/>
      <c r="CC94" s="59"/>
    </row>
    <row r="95" spans="1:81" x14ac:dyDescent="0.2">
      <c r="A95">
        <f t="shared" si="54"/>
        <v>30500</v>
      </c>
      <c r="B95">
        <f t="shared" si="86"/>
        <v>30.5</v>
      </c>
      <c r="C95">
        <f t="shared" si="55"/>
        <v>1.0001836071336727</v>
      </c>
      <c r="D95">
        <f t="shared" si="56"/>
        <v>1.9161369736569608E-2</v>
      </c>
      <c r="F95">
        <f t="shared" si="57"/>
        <v>0.17204291521738377</v>
      </c>
      <c r="G95">
        <f t="shared" si="58"/>
        <v>0.26016007101675187</v>
      </c>
      <c r="H95">
        <f t="shared" si="59"/>
        <v>-2.8814325789832482</v>
      </c>
      <c r="J95">
        <f t="shared" si="60"/>
        <v>15</v>
      </c>
      <c r="M95">
        <f t="shared" si="61"/>
        <v>2.6156365220223739E-2</v>
      </c>
      <c r="N95">
        <f t="shared" si="62"/>
        <v>-1.5707963250000001</v>
      </c>
      <c r="O95">
        <f t="shared" si="63"/>
        <v>3.5914947469233653</v>
      </c>
      <c r="P95">
        <f t="shared" si="64"/>
        <v>1.2886314130377063</v>
      </c>
      <c r="Q95">
        <f t="shared" si="65"/>
        <v>3.7647702799795524</v>
      </c>
      <c r="R95">
        <f t="shared" si="66"/>
        <v>1.301948886370293</v>
      </c>
      <c r="S95">
        <f t="shared" si="67"/>
        <v>0.99997120606415224</v>
      </c>
      <c r="T95">
        <f t="shared" si="68"/>
        <v>-7.5886855292023637E-3</v>
      </c>
      <c r="U95">
        <f t="shared" si="69"/>
        <v>0.98391614732400079</v>
      </c>
      <c r="V95">
        <f t="shared" si="70"/>
        <v>-0.17959484186339461</v>
      </c>
      <c r="X95">
        <f t="shared" si="87"/>
        <v>-0.93311046582983292</v>
      </c>
      <c r="Y95">
        <f t="shared" si="71"/>
        <v>-116.29156860983542</v>
      </c>
      <c r="Z95">
        <f t="shared" si="88"/>
        <v>63.708431390164577</v>
      </c>
      <c r="AC95">
        <v>1</v>
      </c>
      <c r="AD95">
        <f t="shared" si="72"/>
        <v>3.4494687297000004</v>
      </c>
      <c r="AE95">
        <f t="shared" si="73"/>
        <v>-6.6104636206545193E-4</v>
      </c>
      <c r="AF95">
        <f t="shared" si="74"/>
        <v>3.6411058813499999E-3</v>
      </c>
      <c r="AG95">
        <f t="shared" si="89"/>
        <v>868.8683632371999</v>
      </c>
      <c r="AH95">
        <f t="shared" si="90"/>
        <v>-432.38574266563046</v>
      </c>
      <c r="AJ95">
        <f t="shared" si="75"/>
        <v>10500</v>
      </c>
      <c r="AK95">
        <f t="shared" si="76"/>
        <v>79.682727656070014</v>
      </c>
      <c r="AL95">
        <v>1</v>
      </c>
      <c r="AM95">
        <f t="shared" si="77"/>
        <v>3.62953099739034</v>
      </c>
      <c r="AN95">
        <f t="shared" si="91"/>
        <v>761.2244355602877</v>
      </c>
      <c r="AO95">
        <f t="shared" si="92"/>
        <v>-2683.2049571809594</v>
      </c>
      <c r="AQ95">
        <f t="shared" si="78"/>
        <v>2.6867275658248255</v>
      </c>
      <c r="AR95">
        <f t="shared" si="79"/>
        <v>-163.89038151531435</v>
      </c>
      <c r="AT95">
        <f t="shared" si="104"/>
        <v>-68529.451744670223</v>
      </c>
      <c r="AU95">
        <f t="shared" si="105"/>
        <v>-143560.87023142079</v>
      </c>
      <c r="AV95">
        <f t="shared" si="93"/>
        <v>-2.0161641081074761</v>
      </c>
      <c r="AW95">
        <f t="shared" si="94"/>
        <v>-436325.57651195012</v>
      </c>
      <c r="AX95">
        <f t="shared" si="95"/>
        <v>-136412.24183195824</v>
      </c>
      <c r="AY95">
        <f t="shared" si="103"/>
        <v>-2.8385814701180427</v>
      </c>
      <c r="BA95">
        <f t="shared" si="80"/>
        <v>0.34797723711145817</v>
      </c>
      <c r="BB95">
        <f t="shared" si="96"/>
        <v>-9.1689832888969995</v>
      </c>
      <c r="BC95">
        <f t="shared" si="97"/>
        <v>0.82241736201056659</v>
      </c>
      <c r="BD95">
        <f t="shared" si="81"/>
        <v>-132.87895610466813</v>
      </c>
      <c r="BF95">
        <f t="shared" si="82"/>
        <v>-0.93282760410014376</v>
      </c>
      <c r="BG95">
        <f t="shared" si="83"/>
        <v>-116.87501640370215</v>
      </c>
      <c r="BH95">
        <f t="shared" si="98"/>
        <v>63.124983596297852</v>
      </c>
      <c r="BI95">
        <f t="shared" si="99"/>
        <v>63.124983596297852</v>
      </c>
      <c r="BJ95">
        <f t="shared" si="84"/>
        <v>0</v>
      </c>
      <c r="BK95">
        <f t="shared" si="100"/>
        <v>0</v>
      </c>
      <c r="BM95">
        <f t="shared" si="101"/>
        <v>8.2361556847968558</v>
      </c>
      <c r="BN95">
        <f t="shared" si="85"/>
        <v>-163.99606029903401</v>
      </c>
      <c r="BQ95" s="56">
        <f t="shared" si="102"/>
        <v>7.7329775113881372</v>
      </c>
      <c r="BR95" s="59"/>
      <c r="BS95" s="59"/>
      <c r="BT95" s="59">
        <v>707.94600000000003</v>
      </c>
      <c r="BU95" s="59">
        <v>17.887</v>
      </c>
      <c r="BV95" s="59">
        <v>-262.84989999999999</v>
      </c>
      <c r="BW95" s="61"/>
      <c r="BY95" s="59"/>
      <c r="BZ95" s="59"/>
      <c r="CA95" s="59"/>
      <c r="CC95" s="59"/>
    </row>
    <row r="96" spans="1:81" x14ac:dyDescent="0.2">
      <c r="A96">
        <f t="shared" si="54"/>
        <v>31000</v>
      </c>
      <c r="B96">
        <f t="shared" si="86"/>
        <v>31</v>
      </c>
      <c r="C96">
        <f t="shared" si="55"/>
        <v>1.0001896758076994</v>
      </c>
      <c r="D96">
        <f t="shared" si="56"/>
        <v>1.9475411769263012E-2</v>
      </c>
      <c r="F96">
        <f t="shared" si="57"/>
        <v>0.16581268308644728</v>
      </c>
      <c r="G96">
        <f t="shared" si="58"/>
        <v>0.2547300492003608</v>
      </c>
      <c r="H96">
        <f t="shared" si="59"/>
        <v>-2.8868626007996392</v>
      </c>
      <c r="J96">
        <f t="shared" si="60"/>
        <v>15</v>
      </c>
      <c r="M96">
        <f t="shared" si="61"/>
        <v>2.5734488361833036E-2</v>
      </c>
      <c r="N96">
        <f t="shared" si="62"/>
        <v>-1.5707963250000001</v>
      </c>
      <c r="O96">
        <f t="shared" si="63"/>
        <v>3.6458411911205713</v>
      </c>
      <c r="P96">
        <f t="shared" si="64"/>
        <v>1.2929500902431288</v>
      </c>
      <c r="Q96">
        <f t="shared" si="65"/>
        <v>3.8221660676765863</v>
      </c>
      <c r="R96">
        <f t="shared" si="66"/>
        <v>1.3060838707979554</v>
      </c>
      <c r="S96">
        <f t="shared" si="67"/>
        <v>0.99997025430492426</v>
      </c>
      <c r="T96">
        <f t="shared" si="68"/>
        <v>-7.7130853158258721E-3</v>
      </c>
      <c r="U96">
        <f t="shared" si="69"/>
        <v>0.98339765356065745</v>
      </c>
      <c r="V96">
        <f t="shared" si="70"/>
        <v>-0.18247460409957658</v>
      </c>
      <c r="X96">
        <f t="shared" si="87"/>
        <v>-1.1373907877959497</v>
      </c>
      <c r="Y96">
        <f t="shared" si="71"/>
        <v>-116.27245933136649</v>
      </c>
      <c r="Z96">
        <f t="shared" si="88"/>
        <v>63.727540668633509</v>
      </c>
      <c r="AC96">
        <v>1</v>
      </c>
      <c r="AD96">
        <f t="shared" si="72"/>
        <v>3.5060173974000004</v>
      </c>
      <c r="AE96">
        <f t="shared" si="73"/>
        <v>-6.8289766615952632E-4</v>
      </c>
      <c r="AF96">
        <f t="shared" si="74"/>
        <v>3.7007961416999995E-3</v>
      </c>
      <c r="AG96">
        <f t="shared" si="89"/>
        <v>867.95287033038392</v>
      </c>
      <c r="AH96">
        <f t="shared" si="90"/>
        <v>-430.37306798354126</v>
      </c>
      <c r="AJ96">
        <f t="shared" si="75"/>
        <v>10500</v>
      </c>
      <c r="AK96">
        <f t="shared" si="76"/>
        <v>80.989001879940005</v>
      </c>
      <c r="AL96">
        <v>1</v>
      </c>
      <c r="AM96">
        <f t="shared" si="77"/>
        <v>3.6890315055442802</v>
      </c>
      <c r="AN96">
        <f t="shared" si="91"/>
        <v>739.18854059679745</v>
      </c>
      <c r="AO96">
        <f t="shared" si="92"/>
        <v>-2645.9008129189433</v>
      </c>
      <c r="AQ96">
        <f t="shared" si="78"/>
        <v>2.6007802340702209</v>
      </c>
      <c r="AR96">
        <f t="shared" si="79"/>
        <v>-161.24837451235371</v>
      </c>
      <c r="AT96">
        <f t="shared" si="104"/>
        <v>-67139.602976980954</v>
      </c>
      <c r="AU96">
        <f t="shared" si="105"/>
        <v>-141075.29526259386</v>
      </c>
      <c r="AV96">
        <f t="shared" si="93"/>
        <v>-2.0149895336026047</v>
      </c>
      <c r="AW96">
        <f t="shared" si="94"/>
        <v>-423366.1686649872</v>
      </c>
      <c r="AX96">
        <f t="shared" si="95"/>
        <v>-130457.95306845367</v>
      </c>
      <c r="AY96">
        <f t="shared" si="103"/>
        <v>-2.8426806978416059</v>
      </c>
      <c r="BA96">
        <f t="shared" si="80"/>
        <v>0.3526709481275081</v>
      </c>
      <c r="BB96">
        <f t="shared" si="96"/>
        <v>-9.0526062921945343</v>
      </c>
      <c r="BC96">
        <f t="shared" si="97"/>
        <v>0.82769116423900124</v>
      </c>
      <c r="BD96">
        <f t="shared" si="81"/>
        <v>-132.57678949464685</v>
      </c>
      <c r="BF96">
        <f t="shared" si="82"/>
        <v>-1.1367788268866965</v>
      </c>
      <c r="BG96">
        <f t="shared" si="83"/>
        <v>-116.86597384369595</v>
      </c>
      <c r="BH96">
        <f t="shared" si="98"/>
        <v>63.134026156304046</v>
      </c>
      <c r="BI96">
        <f t="shared" si="99"/>
        <v>63.134026156304046</v>
      </c>
      <c r="BJ96">
        <f t="shared" si="84"/>
        <v>0</v>
      </c>
      <c r="BK96">
        <f t="shared" si="100"/>
        <v>0</v>
      </c>
      <c r="BM96">
        <f t="shared" si="101"/>
        <v>7.9158274653078378</v>
      </c>
      <c r="BN96">
        <f t="shared" si="85"/>
        <v>-164.28918434904912</v>
      </c>
      <c r="BQ96" s="56">
        <f t="shared" si="102"/>
        <v>7.8493545080906033</v>
      </c>
      <c r="BR96" s="59"/>
      <c r="BS96" s="59"/>
      <c r="BT96" s="59">
        <v>724.43600000000004</v>
      </c>
      <c r="BU96" s="59">
        <v>17.753599999999999</v>
      </c>
      <c r="BV96" s="59">
        <v>-262.81690000000003</v>
      </c>
      <c r="BW96" s="61"/>
      <c r="BY96" s="59"/>
      <c r="BZ96" s="59"/>
      <c r="CA96" s="59"/>
      <c r="CC96" s="59"/>
    </row>
    <row r="97" spans="1:81" x14ac:dyDescent="0.2">
      <c r="A97">
        <f t="shared" si="54"/>
        <v>31500</v>
      </c>
      <c r="B97">
        <f t="shared" si="86"/>
        <v>31.5</v>
      </c>
      <c r="C97">
        <f t="shared" si="55"/>
        <v>1.0001958431216278</v>
      </c>
      <c r="D97">
        <f t="shared" si="56"/>
        <v>1.9789449960094165E-2</v>
      </c>
      <c r="F97">
        <f t="shared" si="57"/>
        <v>0.15992522222895081</v>
      </c>
      <c r="G97">
        <f t="shared" si="58"/>
        <v>0.24953873164953944</v>
      </c>
      <c r="H97">
        <f t="shared" si="59"/>
        <v>-2.8920539183504608</v>
      </c>
      <c r="J97">
        <f t="shared" si="60"/>
        <v>15</v>
      </c>
      <c r="M97">
        <f t="shared" si="61"/>
        <v>2.5326004419581716E-2</v>
      </c>
      <c r="N97">
        <f t="shared" si="62"/>
        <v>-1.5707963250000001</v>
      </c>
      <c r="O97">
        <f t="shared" si="63"/>
        <v>3.7002536356582496</v>
      </c>
      <c r="P97">
        <f t="shared" si="64"/>
        <v>1.2971418309267504</v>
      </c>
      <c r="Q97">
        <f t="shared" si="65"/>
        <v>3.879625272847937</v>
      </c>
      <c r="R97">
        <f t="shared" si="66"/>
        <v>1.310096439744401</v>
      </c>
      <c r="S97">
        <f t="shared" si="67"/>
        <v>0.9999692870727207</v>
      </c>
      <c r="T97">
        <f t="shared" si="68"/>
        <v>-7.8374848637203804E-3</v>
      </c>
      <c r="U97">
        <f t="shared" si="69"/>
        <v>0.98287156790029551</v>
      </c>
      <c r="V97">
        <f t="shared" si="70"/>
        <v>-0.18535130901355928</v>
      </c>
      <c r="X97">
        <f t="shared" si="87"/>
        <v>-1.3367069440075683</v>
      </c>
      <c r="Y97">
        <f t="shared" si="71"/>
        <v>-116.25378515810095</v>
      </c>
      <c r="Z97">
        <f t="shared" si="88"/>
        <v>63.746214841899047</v>
      </c>
      <c r="AC97">
        <v>1</v>
      </c>
      <c r="AD97">
        <f t="shared" si="72"/>
        <v>3.5625660651000004</v>
      </c>
      <c r="AE97">
        <f t="shared" si="73"/>
        <v>-7.0510427601122789E-4</v>
      </c>
      <c r="AF97">
        <f t="shared" si="74"/>
        <v>3.76048640205E-3</v>
      </c>
      <c r="AG97">
        <f t="shared" si="89"/>
        <v>867.02446579423395</v>
      </c>
      <c r="AH97">
        <f t="shared" si="90"/>
        <v>-428.49314848192353</v>
      </c>
      <c r="AJ97">
        <f t="shared" si="75"/>
        <v>10500</v>
      </c>
      <c r="AK97">
        <f t="shared" si="76"/>
        <v>82.295276103810011</v>
      </c>
      <c r="AL97">
        <v>1</v>
      </c>
      <c r="AM97">
        <f t="shared" si="77"/>
        <v>3.7485320136982208</v>
      </c>
      <c r="AN97">
        <f t="shared" si="91"/>
        <v>718.1006568639209</v>
      </c>
      <c r="AO97">
        <f t="shared" si="92"/>
        <v>-2609.528025208318</v>
      </c>
      <c r="AQ97">
        <f t="shared" si="78"/>
        <v>2.5188916876574305</v>
      </c>
      <c r="AR97">
        <f t="shared" si="79"/>
        <v>-158.69017632241813</v>
      </c>
      <c r="AT97">
        <f t="shared" si="104"/>
        <v>-65813.712565659822</v>
      </c>
      <c r="AU97">
        <f t="shared" si="105"/>
        <v>-138667.59318266663</v>
      </c>
      <c r="AV97">
        <f t="shared" si="93"/>
        <v>-2.0139304486848122</v>
      </c>
      <c r="AW97">
        <f t="shared" si="94"/>
        <v>-410960.29656105023</v>
      </c>
      <c r="AX97">
        <f t="shared" si="95"/>
        <v>-124851.7724067854</v>
      </c>
      <c r="AY97">
        <f t="shared" si="103"/>
        <v>-2.8466487451392974</v>
      </c>
      <c r="BA97">
        <f t="shared" si="80"/>
        <v>0.35737047107818498</v>
      </c>
      <c r="BB97">
        <f t="shared" si="96"/>
        <v>-8.937626707430617</v>
      </c>
      <c r="BC97">
        <f t="shared" si="97"/>
        <v>0.83271829645448525</v>
      </c>
      <c r="BD97">
        <f t="shared" si="81"/>
        <v>-132.28875603531625</v>
      </c>
      <c r="BF97">
        <f t="shared" si="82"/>
        <v>-1.3357613635838139</v>
      </c>
      <c r="BG97">
        <f t="shared" si="83"/>
        <v>-116.85738790751836</v>
      </c>
      <c r="BH97">
        <f t="shared" si="98"/>
        <v>63.142612092481642</v>
      </c>
      <c r="BI97">
        <f t="shared" si="99"/>
        <v>63.142612092481642</v>
      </c>
      <c r="BJ97">
        <f t="shared" si="84"/>
        <v>0</v>
      </c>
      <c r="BK97">
        <f t="shared" si="100"/>
        <v>0</v>
      </c>
      <c r="BM97">
        <f t="shared" si="101"/>
        <v>7.6018653438468036</v>
      </c>
      <c r="BN97">
        <f t="shared" si="85"/>
        <v>-164.5686318722021</v>
      </c>
      <c r="BQ97" s="56">
        <f t="shared" si="102"/>
        <v>7.9643340928545205</v>
      </c>
      <c r="BR97" s="59"/>
      <c r="BS97" s="59"/>
      <c r="BT97" s="59">
        <v>741.31</v>
      </c>
      <c r="BU97" s="59">
        <v>17.416399999999999</v>
      </c>
      <c r="BV97" s="59">
        <v>-262.19720000000001</v>
      </c>
      <c r="BW97" s="61"/>
      <c r="BY97" s="59"/>
      <c r="BZ97" s="59"/>
      <c r="CA97" s="59"/>
      <c r="CC97" s="59"/>
    </row>
    <row r="98" spans="1:81" x14ac:dyDescent="0.2">
      <c r="A98">
        <f t="shared" si="54"/>
        <v>32000</v>
      </c>
      <c r="B98">
        <f t="shared" si="86"/>
        <v>32</v>
      </c>
      <c r="C98">
        <f t="shared" si="55"/>
        <v>1.0002021090736335</v>
      </c>
      <c r="D98">
        <f t="shared" si="56"/>
        <v>2.0103484247193826E-2</v>
      </c>
      <c r="F98">
        <f t="shared" si="57"/>
        <v>0.15435526475204839</v>
      </c>
      <c r="G98">
        <f t="shared" si="58"/>
        <v>0.24457014677667713</v>
      </c>
      <c r="H98">
        <f t="shared" si="59"/>
        <v>-2.8970225032233232</v>
      </c>
      <c r="J98">
        <f t="shared" si="60"/>
        <v>15</v>
      </c>
      <c r="M98">
        <f t="shared" si="61"/>
        <v>2.4930285600525754E-2</v>
      </c>
      <c r="N98">
        <f t="shared" si="62"/>
        <v>-1.5707963250000001</v>
      </c>
      <c r="O98">
        <f t="shared" si="63"/>
        <v>3.754729211164237</v>
      </c>
      <c r="P98">
        <f t="shared" si="64"/>
        <v>1.3012120094747224</v>
      </c>
      <c r="Q98">
        <f t="shared" si="65"/>
        <v>3.9371451189261135</v>
      </c>
      <c r="R98">
        <f t="shared" si="66"/>
        <v>1.3139918263860839</v>
      </c>
      <c r="S98">
        <f t="shared" si="67"/>
        <v>0.99996830436767647</v>
      </c>
      <c r="T98">
        <f t="shared" si="68"/>
        <v>-7.9618841690363602E-3</v>
      </c>
      <c r="U98">
        <f t="shared" si="69"/>
        <v>0.98233792862058034</v>
      </c>
      <c r="V98">
        <f t="shared" si="70"/>
        <v>-0.18822491393607138</v>
      </c>
      <c r="X98">
        <f t="shared" si="87"/>
        <v>-1.5313016555468018</v>
      </c>
      <c r="Y98">
        <f t="shared" si="71"/>
        <v>-116.2358509845882</v>
      </c>
      <c r="Z98">
        <f t="shared" si="88"/>
        <v>63.764149015411803</v>
      </c>
      <c r="AC98">
        <v>1</v>
      </c>
      <c r="AD98">
        <f t="shared" si="72"/>
        <v>3.6191147328000008</v>
      </c>
      <c r="AE98">
        <f t="shared" si="73"/>
        <v>-7.2766619162055652E-4</v>
      </c>
      <c r="AF98">
        <f t="shared" si="74"/>
        <v>3.8201766623999996E-3</v>
      </c>
      <c r="AG98">
        <f t="shared" si="89"/>
        <v>866.08323863193766</v>
      </c>
      <c r="AH98">
        <f t="shared" si="90"/>
        <v>-426.73929400362488</v>
      </c>
      <c r="AJ98">
        <f t="shared" si="75"/>
        <v>10500</v>
      </c>
      <c r="AK98">
        <f t="shared" si="76"/>
        <v>83.601550327680002</v>
      </c>
      <c r="AL98">
        <v>1</v>
      </c>
      <c r="AM98">
        <f t="shared" si="77"/>
        <v>3.8080325218521605</v>
      </c>
      <c r="AN98">
        <f t="shared" si="91"/>
        <v>697.90848815445156</v>
      </c>
      <c r="AO98">
        <f t="shared" si="92"/>
        <v>-2574.0566698411449</v>
      </c>
      <c r="AQ98">
        <f t="shared" si="78"/>
        <v>2.4408103490358801</v>
      </c>
      <c r="AR98">
        <f t="shared" si="79"/>
        <v>-156.21186233829633</v>
      </c>
      <c r="AT98">
        <f t="shared" si="104"/>
        <v>-64547.794917256666</v>
      </c>
      <c r="AU98">
        <f t="shared" si="105"/>
        <v>-136334.06533182241</v>
      </c>
      <c r="AV98">
        <f t="shared" si="93"/>
        <v>-2.0129818294306654</v>
      </c>
      <c r="AW98">
        <f t="shared" si="94"/>
        <v>-399077.73431400658</v>
      </c>
      <c r="AX98">
        <f t="shared" si="95"/>
        <v>-119568.75095518574</v>
      </c>
      <c r="AY98">
        <f t="shared" si="103"/>
        <v>-2.8504912330985097</v>
      </c>
      <c r="BA98">
        <f t="shared" si="80"/>
        <v>0.36207507500808306</v>
      </c>
      <c r="BB98">
        <f t="shared" si="96"/>
        <v>-8.8240274135756902</v>
      </c>
      <c r="BC98">
        <f t="shared" si="97"/>
        <v>0.83750940366784432</v>
      </c>
      <c r="BD98">
        <f t="shared" si="81"/>
        <v>-132.01424581248241</v>
      </c>
      <c r="BF98">
        <f t="shared" si="82"/>
        <v>-1.5300179728414034</v>
      </c>
      <c r="BG98">
        <f t="shared" si="83"/>
        <v>-116.84956378908363</v>
      </c>
      <c r="BH98">
        <f t="shared" si="98"/>
        <v>63.150436210916368</v>
      </c>
      <c r="BI98">
        <f t="shared" si="99"/>
        <v>63.150436210916368</v>
      </c>
      <c r="BJ98">
        <f t="shared" si="84"/>
        <v>0</v>
      </c>
      <c r="BK98">
        <f t="shared" si="100"/>
        <v>0</v>
      </c>
      <c r="BM98">
        <f t="shared" si="101"/>
        <v>7.2940094407342855</v>
      </c>
      <c r="BN98">
        <f t="shared" si="85"/>
        <v>-164.83531797660123</v>
      </c>
      <c r="BQ98" s="56">
        <f t="shared" si="102"/>
        <v>8.0779333867094465</v>
      </c>
      <c r="BR98" s="59"/>
      <c r="BS98" s="59"/>
      <c r="BT98" s="59">
        <v>758.57799999999997</v>
      </c>
      <c r="BU98" s="59">
        <v>17.283200000000001</v>
      </c>
      <c r="BV98" s="59">
        <v>-262.56690000000003</v>
      </c>
      <c r="BW98" s="61"/>
      <c r="BY98" s="59"/>
      <c r="BZ98" s="59"/>
      <c r="CA98" s="59"/>
      <c r="CC98" s="59"/>
    </row>
    <row r="99" spans="1:81" x14ac:dyDescent="0.2">
      <c r="A99">
        <f t="shared" si="54"/>
        <v>32500</v>
      </c>
      <c r="B99">
        <f t="shared" si="86"/>
        <v>32.5</v>
      </c>
      <c r="C99">
        <f t="shared" si="55"/>
        <v>1.0002084736618628</v>
      </c>
      <c r="D99">
        <f t="shared" si="56"/>
        <v>2.0417514568697379E-2</v>
      </c>
      <c r="F99">
        <f t="shared" si="57"/>
        <v>0.14907986530703171</v>
      </c>
      <c r="G99">
        <f t="shared" si="58"/>
        <v>0.2398097367889265</v>
      </c>
      <c r="H99">
        <f t="shared" si="59"/>
        <v>-2.9017829132110737</v>
      </c>
      <c r="J99">
        <f t="shared" si="60"/>
        <v>15</v>
      </c>
      <c r="M99">
        <f t="shared" si="61"/>
        <v>2.4546742745133045E-2</v>
      </c>
      <c r="N99">
        <f t="shared" si="62"/>
        <v>-1.5707963250000001</v>
      </c>
      <c r="O99">
        <f t="shared" si="63"/>
        <v>3.8092652091676711</v>
      </c>
      <c r="P99">
        <f t="shared" si="64"/>
        <v>1.3051657091508906</v>
      </c>
      <c r="Q99">
        <f t="shared" si="65"/>
        <v>3.9947229864144731</v>
      </c>
      <c r="R99">
        <f t="shared" si="66"/>
        <v>1.3177749768932101</v>
      </c>
      <c r="S99">
        <f t="shared" si="67"/>
        <v>0.99996730618992802</v>
      </c>
      <c r="T99">
        <f t="shared" si="68"/>
        <v>-8.0862832279243266E-3</v>
      </c>
      <c r="U99">
        <f t="shared" si="69"/>
        <v>0.98179677443563085</v>
      </c>
      <c r="V99">
        <f t="shared" si="70"/>
        <v>-0.19109537649453612</v>
      </c>
      <c r="X99">
        <f t="shared" si="87"/>
        <v>-1.7214013558348096</v>
      </c>
      <c r="Y99">
        <f t="shared" si="71"/>
        <v>-116.21891384222981</v>
      </c>
      <c r="Z99">
        <f t="shared" si="88"/>
        <v>63.78108615777019</v>
      </c>
      <c r="AC99">
        <v>1</v>
      </c>
      <c r="AD99">
        <f t="shared" si="72"/>
        <v>3.6756634005</v>
      </c>
      <c r="AE99">
        <f t="shared" si="73"/>
        <v>-7.5058341298751266E-4</v>
      </c>
      <c r="AF99">
        <f t="shared" si="74"/>
        <v>3.8798669227499997E-3</v>
      </c>
      <c r="AG99">
        <f t="shared" si="89"/>
        <v>865.12927877749519</v>
      </c>
      <c r="AH99">
        <f t="shared" si="90"/>
        <v>-425.10522128197078</v>
      </c>
      <c r="AJ99">
        <f t="shared" si="75"/>
        <v>10500</v>
      </c>
      <c r="AK99">
        <f t="shared" si="76"/>
        <v>84.907824551550007</v>
      </c>
      <c r="AL99">
        <v>1</v>
      </c>
      <c r="AM99">
        <f t="shared" si="77"/>
        <v>3.8675330300061002</v>
      </c>
      <c r="AN99">
        <f t="shared" si="91"/>
        <v>678.56320112149194</v>
      </c>
      <c r="AO99">
        <f t="shared" si="92"/>
        <v>-2539.4577687324927</v>
      </c>
      <c r="AQ99">
        <f t="shared" si="78"/>
        <v>2.3663038334122102</v>
      </c>
      <c r="AR99">
        <f t="shared" si="79"/>
        <v>-153.80974917179367</v>
      </c>
      <c r="AT99">
        <f t="shared" si="104"/>
        <v>-63338.168728231445</v>
      </c>
      <c r="AU99">
        <f t="shared" si="105"/>
        <v>-134071.24548466437</v>
      </c>
      <c r="AV99">
        <f t="shared" si="93"/>
        <v>-2.0121389191528438</v>
      </c>
      <c r="AW99">
        <f t="shared" si="94"/>
        <v>-387690.22918914334</v>
      </c>
      <c r="AX99">
        <f t="shared" si="95"/>
        <v>-114586.03741851864</v>
      </c>
      <c r="AY99">
        <f t="shared" si="103"/>
        <v>-2.8542134717007919</v>
      </c>
      <c r="BA99">
        <f t="shared" si="80"/>
        <v>0.36678406838879479</v>
      </c>
      <c r="BB99">
        <f t="shared" si="96"/>
        <v>-8.7117907316378744</v>
      </c>
      <c r="BC99">
        <f t="shared" si="97"/>
        <v>0.84207455254794805</v>
      </c>
      <c r="BD99">
        <f t="shared" si="81"/>
        <v>-131.75268204850471</v>
      </c>
      <c r="BF99">
        <f t="shared" si="82"/>
        <v>-1.7197751260500236</v>
      </c>
      <c r="BG99">
        <f t="shared" si="83"/>
        <v>-116.84275881438576</v>
      </c>
      <c r="BH99">
        <f t="shared" si="98"/>
        <v>63.157241185614239</v>
      </c>
      <c r="BI99">
        <f t="shared" si="99"/>
        <v>63.157241185614239</v>
      </c>
      <c r="BJ99">
        <f t="shared" si="84"/>
        <v>0</v>
      </c>
      <c r="BK99">
        <f t="shared" si="100"/>
        <v>0</v>
      </c>
      <c r="BM99">
        <f t="shared" si="101"/>
        <v>6.9920156055878513</v>
      </c>
      <c r="BN99">
        <f t="shared" si="85"/>
        <v>-165.09007676588107</v>
      </c>
      <c r="BQ99" s="56">
        <f t="shared" si="102"/>
        <v>8.190170068647264</v>
      </c>
      <c r="BR99" s="59"/>
      <c r="BS99" s="59"/>
      <c r="BT99" s="59">
        <v>776.24699999999996</v>
      </c>
      <c r="BU99" s="59">
        <v>17.007100000000001</v>
      </c>
      <c r="BV99" s="59">
        <v>-262.71769999999998</v>
      </c>
      <c r="BW99" s="61"/>
      <c r="BY99" s="59"/>
      <c r="BZ99" s="59"/>
      <c r="CA99" s="59"/>
      <c r="CC99" s="59"/>
    </row>
    <row r="100" spans="1:81" x14ac:dyDescent="0.2">
      <c r="A100">
        <f t="shared" si="54"/>
        <v>33000</v>
      </c>
      <c r="B100">
        <f t="shared" si="86"/>
        <v>33</v>
      </c>
      <c r="C100">
        <f t="shared" si="55"/>
        <v>1.0002149368844324</v>
      </c>
      <c r="D100">
        <f t="shared" si="56"/>
        <v>2.0731540862744903E-2</v>
      </c>
      <c r="F100">
        <f t="shared" si="57"/>
        <v>0.14407814719281922</v>
      </c>
      <c r="G100">
        <f t="shared" si="58"/>
        <v>0.23524420426166584</v>
      </c>
      <c r="H100">
        <f t="shared" si="59"/>
        <v>-2.9063484457383342</v>
      </c>
      <c r="J100">
        <f t="shared" si="60"/>
        <v>15</v>
      </c>
      <c r="M100">
        <f t="shared" si="61"/>
        <v>2.4174822400509822E-2</v>
      </c>
      <c r="N100">
        <f t="shared" si="62"/>
        <v>-1.5707963250000001</v>
      </c>
      <c r="O100">
        <f t="shared" si="63"/>
        <v>3.8638590711900607</v>
      </c>
      <c r="P100">
        <f t="shared" si="64"/>
        <v>1.3090077409742333</v>
      </c>
      <c r="Q100">
        <f t="shared" si="65"/>
        <v>4.0523564021238014</v>
      </c>
      <c r="R100">
        <f t="shared" si="66"/>
        <v>1.3214505693346674</v>
      </c>
      <c r="S100">
        <f t="shared" si="67"/>
        <v>0.99996629253961455</v>
      </c>
      <c r="T100">
        <f t="shared" si="68"/>
        <v>-8.2106820365348415E-3</v>
      </c>
      <c r="U100">
        <f t="shared" si="69"/>
        <v>0.98124814448860886</v>
      </c>
      <c r="V100">
        <f t="shared" si="70"/>
        <v>-0.19396265461612447</v>
      </c>
      <c r="X100">
        <f t="shared" si="87"/>
        <v>-1.907217531088947</v>
      </c>
      <c r="Y100">
        <f t="shared" si="71"/>
        <v>-116.20318952537737</v>
      </c>
      <c r="Z100">
        <f t="shared" si="88"/>
        <v>63.796810474622632</v>
      </c>
      <c r="AC100">
        <v>1</v>
      </c>
      <c r="AD100">
        <f t="shared" si="72"/>
        <v>3.7322120682</v>
      </c>
      <c r="AE100">
        <f t="shared" si="73"/>
        <v>-7.7385594011209586E-4</v>
      </c>
      <c r="AF100">
        <f t="shared" si="74"/>
        <v>3.9395571831000002E-3</v>
      </c>
      <c r="AG100">
        <f t="shared" si="89"/>
        <v>864.16267707533893</v>
      </c>
      <c r="AH100">
        <f t="shared" si="90"/>
        <v>-423.58502321948993</v>
      </c>
      <c r="AJ100">
        <f t="shared" si="75"/>
        <v>10500</v>
      </c>
      <c r="AK100">
        <f t="shared" si="76"/>
        <v>86.214098775420013</v>
      </c>
      <c r="AL100">
        <v>1</v>
      </c>
      <c r="AM100">
        <f t="shared" si="77"/>
        <v>3.9270335381600403</v>
      </c>
      <c r="AN100">
        <f t="shared" si="91"/>
        <v>660.01916177525175</v>
      </c>
      <c r="AO100">
        <f t="shared" si="92"/>
        <v>-2505.7032853442706</v>
      </c>
      <c r="AQ100">
        <f t="shared" si="78"/>
        <v>2.2951572182694515</v>
      </c>
      <c r="AR100">
        <f t="shared" si="79"/>
        <v>-151.4803764057838</v>
      </c>
      <c r="AT100">
        <f t="shared" si="104"/>
        <v>-62181.429551092486</v>
      </c>
      <c r="AU100">
        <f t="shared" si="105"/>
        <v>-131875.88182279517</v>
      </c>
      <c r="AV100">
        <f t="shared" si="93"/>
        <v>-2.0113972113569147</v>
      </c>
      <c r="AW100">
        <f t="shared" si="94"/>
        <v>-376771.35447223549</v>
      </c>
      <c r="AX100">
        <f t="shared" si="95"/>
        <v>-109882.67709700092</v>
      </c>
      <c r="AY100">
        <f t="shared" si="103"/>
        <v>-2.8578204805566028</v>
      </c>
      <c r="BA100">
        <f t="shared" si="80"/>
        <v>0.37149679620381543</v>
      </c>
      <c r="BB100">
        <f t="shared" si="96"/>
        <v>-8.6008985450400584</v>
      </c>
      <c r="BC100">
        <f t="shared" si="97"/>
        <v>0.84642326919968802</v>
      </c>
      <c r="BD100">
        <f t="shared" si="81"/>
        <v>-131.50351893777705</v>
      </c>
      <c r="BF100">
        <f t="shared" si="82"/>
        <v>-1.9052443477898078</v>
      </c>
      <c r="BG100">
        <f t="shared" si="83"/>
        <v>-116.83718906767311</v>
      </c>
      <c r="BH100">
        <f t="shared" si="98"/>
        <v>63.162810932326892</v>
      </c>
      <c r="BI100">
        <f t="shared" si="99"/>
        <v>63.162810932326892</v>
      </c>
      <c r="BJ100">
        <f t="shared" si="84"/>
        <v>0</v>
      </c>
      <c r="BK100">
        <f t="shared" si="100"/>
        <v>0</v>
      </c>
      <c r="BM100">
        <f t="shared" si="101"/>
        <v>6.6956541972502501</v>
      </c>
      <c r="BN100">
        <f t="shared" si="85"/>
        <v>-165.33367012989606</v>
      </c>
      <c r="BQ100" s="56">
        <f t="shared" si="102"/>
        <v>8.3010622552450801</v>
      </c>
      <c r="BR100" s="59"/>
      <c r="BS100" s="59"/>
      <c r="BT100" s="59">
        <v>794.32799999999997</v>
      </c>
      <c r="BU100" s="59">
        <v>16.8354</v>
      </c>
      <c r="BV100" s="59">
        <v>-262.79380000000003</v>
      </c>
      <c r="BW100" s="61"/>
      <c r="BY100" s="59"/>
      <c r="BZ100" s="59"/>
      <c r="CA100" s="59"/>
      <c r="CC100" s="59"/>
    </row>
    <row r="101" spans="1:81" x14ac:dyDescent="0.2">
      <c r="A101">
        <f t="shared" si="54"/>
        <v>33500</v>
      </c>
      <c r="B101">
        <f t="shared" si="86"/>
        <v>33.5</v>
      </c>
      <c r="C101">
        <f t="shared" si="55"/>
        <v>1.0002214987394304</v>
      </c>
      <c r="D101">
        <f t="shared" si="56"/>
        <v>2.1045563067481229E-2</v>
      </c>
      <c r="F101">
        <f t="shared" si="57"/>
        <v>0.13933108037680794</v>
      </c>
      <c r="G101">
        <f t="shared" si="58"/>
        <v>0.23086137819872499</v>
      </c>
      <c r="H101">
        <f t="shared" si="59"/>
        <v>-2.910731271801275</v>
      </c>
      <c r="J101">
        <f t="shared" si="60"/>
        <v>15</v>
      </c>
      <c r="M101">
        <f t="shared" si="61"/>
        <v>2.3814004155726091E-2</v>
      </c>
      <c r="N101">
        <f t="shared" si="62"/>
        <v>-1.5707963250000001</v>
      </c>
      <c r="O101">
        <f t="shared" si="63"/>
        <v>3.9185083786943093</v>
      </c>
      <c r="P101">
        <f t="shared" si="64"/>
        <v>1.3127426611946742</v>
      </c>
      <c r="Q101">
        <f t="shared" si="65"/>
        <v>4.1100430292663015</v>
      </c>
      <c r="R101">
        <f t="shared" si="66"/>
        <v>1.3250230311509505</v>
      </c>
      <c r="S101">
        <f t="shared" si="67"/>
        <v>0.99996526341687741</v>
      </c>
      <c r="T101">
        <f t="shared" si="68"/>
        <v>-8.3350805910185136E-3</v>
      </c>
      <c r="U101">
        <f t="shared" si="69"/>
        <v>0.9806920783442582</v>
      </c>
      <c r="V101">
        <f t="shared" si="70"/>
        <v>-0.19682670653074016</v>
      </c>
      <c r="X101">
        <f t="shared" si="87"/>
        <v>-2.088947934293532</v>
      </c>
      <c r="Y101">
        <f t="shared" si="71"/>
        <v>-116.188858263272</v>
      </c>
      <c r="Z101">
        <f t="shared" si="88"/>
        <v>63.811141736728004</v>
      </c>
      <c r="AC101">
        <v>1</v>
      </c>
      <c r="AD101">
        <f t="shared" si="72"/>
        <v>3.7887607359</v>
      </c>
      <c r="AE101">
        <f t="shared" si="73"/>
        <v>-7.9748377299430635E-4</v>
      </c>
      <c r="AF101">
        <f t="shared" si="74"/>
        <v>3.9992474434499999E-3</v>
      </c>
      <c r="AG101">
        <f t="shared" si="89"/>
        <v>863.18352525985176</v>
      </c>
      <c r="AH101">
        <f t="shared" si="90"/>
        <v>-422.17314091829621</v>
      </c>
      <c r="AJ101">
        <f t="shared" si="75"/>
        <v>10500</v>
      </c>
      <c r="AK101">
        <f t="shared" si="76"/>
        <v>87.520372999290018</v>
      </c>
      <c r="AL101">
        <v>1</v>
      </c>
      <c r="AM101">
        <f t="shared" si="77"/>
        <v>3.9865340463139805</v>
      </c>
      <c r="AN101">
        <f t="shared" si="91"/>
        <v>642.23369427694399</v>
      </c>
      <c r="AO101">
        <f t="shared" si="92"/>
        <v>-2472.7661149257515</v>
      </c>
      <c r="AQ101">
        <f t="shared" si="78"/>
        <v>2.2271714922048997</v>
      </c>
      <c r="AR101">
        <f t="shared" si="79"/>
        <v>-149.22048997772828</v>
      </c>
      <c r="AT101">
        <f t="shared" si="104"/>
        <v>-61074.425203265018</v>
      </c>
      <c r="AU101">
        <f t="shared" si="105"/>
        <v>-129744.92056420571</v>
      </c>
      <c r="AV101">
        <f t="shared" si="93"/>
        <v>-2.0107524339357741</v>
      </c>
      <c r="AW101">
        <f t="shared" si="94"/>
        <v>-366296.37442139431</v>
      </c>
      <c r="AX101">
        <f t="shared" si="95"/>
        <v>-105439.43238817966</v>
      </c>
      <c r="AY101">
        <f t="shared" si="103"/>
        <v>-2.8613170080443147</v>
      </c>
      <c r="BA101">
        <f t="shared" si="80"/>
        <v>0.37621263729497295</v>
      </c>
      <c r="BB101">
        <f t="shared" si="96"/>
        <v>-8.4913324045648189</v>
      </c>
      <c r="BC101">
        <f t="shared" si="97"/>
        <v>0.85056457410854058</v>
      </c>
      <c r="BD101">
        <f t="shared" si="81"/>
        <v>-131.26623964455186</v>
      </c>
      <c r="BF101">
        <f t="shared" si="82"/>
        <v>-2.0866234297928394</v>
      </c>
      <c r="BG101">
        <f t="shared" si="83"/>
        <v>-116.83303506345597</v>
      </c>
      <c r="BH101">
        <f t="shared" si="98"/>
        <v>63.166964936544034</v>
      </c>
      <c r="BI101">
        <f t="shared" si="99"/>
        <v>63.166964936544034</v>
      </c>
      <c r="BJ101">
        <f t="shared" si="84"/>
        <v>0</v>
      </c>
      <c r="BK101">
        <f t="shared" si="100"/>
        <v>0</v>
      </c>
      <c r="BM101">
        <f t="shared" si="101"/>
        <v>6.4047089747719816</v>
      </c>
      <c r="BN101">
        <f t="shared" si="85"/>
        <v>-165.56679541890415</v>
      </c>
      <c r="BQ101" s="56">
        <f t="shared" si="102"/>
        <v>8.4106283957203178</v>
      </c>
      <c r="BR101" s="59"/>
      <c r="BS101" s="59"/>
      <c r="BT101" s="59">
        <v>812.83100000000002</v>
      </c>
      <c r="BU101" s="59">
        <v>16.6614</v>
      </c>
      <c r="BV101" s="59">
        <v>-262.23689999999999</v>
      </c>
      <c r="BW101" s="61"/>
      <c r="BY101" s="59"/>
      <c r="BZ101" s="59"/>
      <c r="CA101" s="59"/>
      <c r="CC101" s="59"/>
    </row>
    <row r="102" spans="1:81" x14ac:dyDescent="0.2">
      <c r="A102">
        <f t="shared" ref="A102:A165" si="106">A101+500</f>
        <v>34000</v>
      </c>
      <c r="B102">
        <f t="shared" si="86"/>
        <v>34</v>
      </c>
      <c r="C102">
        <f t="shared" si="55"/>
        <v>1.0002281592249158</v>
      </c>
      <c r="D102">
        <f t="shared" si="56"/>
        <v>2.1359581121056032E-2</v>
      </c>
      <c r="F102">
        <f t="shared" si="57"/>
        <v>0.13482128693464318</v>
      </c>
      <c r="G102">
        <f t="shared" si="58"/>
        <v>0.22665009677036196</v>
      </c>
      <c r="H102">
        <f t="shared" si="59"/>
        <v>-2.914942553229638</v>
      </c>
      <c r="J102">
        <f t="shared" si="60"/>
        <v>15</v>
      </c>
      <c r="M102">
        <f t="shared" si="61"/>
        <v>2.3463798212259527E-2</v>
      </c>
      <c r="N102">
        <f t="shared" si="62"/>
        <v>-1.5707963250000001</v>
      </c>
      <c r="O102">
        <f t="shared" si="63"/>
        <v>3.9732108438156897</v>
      </c>
      <c r="P102">
        <f t="shared" si="64"/>
        <v>1.3163747874823977</v>
      </c>
      <c r="Q102">
        <f t="shared" si="65"/>
        <v>4.1677806583298525</v>
      </c>
      <c r="R102">
        <f t="shared" si="66"/>
        <v>1.3284965553158121</v>
      </c>
      <c r="S102">
        <f t="shared" si="67"/>
        <v>0.99996421882185982</v>
      </c>
      <c r="T102">
        <f t="shared" si="68"/>
        <v>-8.4594788875259966E-3</v>
      </c>
      <c r="U102">
        <f t="shared" si="69"/>
        <v>0.98012861598140166</v>
      </c>
      <c r="V102">
        <f t="shared" si="70"/>
        <v>-0.19968749077393688</v>
      </c>
      <c r="X102">
        <f t="shared" si="87"/>
        <v>-2.2667776856260673</v>
      </c>
      <c r="Y102">
        <f t="shared" si="71"/>
        <v>-116.1760695852565</v>
      </c>
      <c r="Z102">
        <f t="shared" si="88"/>
        <v>63.823930414743501</v>
      </c>
      <c r="AC102">
        <v>1</v>
      </c>
      <c r="AD102">
        <f t="shared" si="72"/>
        <v>3.8453094036000004</v>
      </c>
      <c r="AE102">
        <f t="shared" si="73"/>
        <v>-8.2146691163414401E-4</v>
      </c>
      <c r="AF102">
        <f t="shared" si="74"/>
        <v>4.0589377038000004E-3</v>
      </c>
      <c r="AG102">
        <f t="shared" si="89"/>
        <v>862.19191593479263</v>
      </c>
      <c r="AH102">
        <f t="shared" si="90"/>
        <v>-420.86433817882818</v>
      </c>
      <c r="AJ102">
        <f t="shared" si="75"/>
        <v>10500</v>
      </c>
      <c r="AK102">
        <f t="shared" si="76"/>
        <v>88.826647223160009</v>
      </c>
      <c r="AL102">
        <v>1</v>
      </c>
      <c r="AM102">
        <f t="shared" si="77"/>
        <v>4.0460345544679202</v>
      </c>
      <c r="AN102">
        <f t="shared" si="91"/>
        <v>625.16685999091533</v>
      </c>
      <c r="AO102">
        <f t="shared" si="92"/>
        <v>-2440.6200706082923</v>
      </c>
      <c r="AQ102">
        <f t="shared" si="78"/>
        <v>2.1621621621621623</v>
      </c>
      <c r="AR102">
        <f t="shared" si="79"/>
        <v>-147.02702702702703</v>
      </c>
      <c r="AT102">
        <f t="shared" si="104"/>
        <v>-60014.233686974105</v>
      </c>
      <c r="AU102">
        <f t="shared" si="105"/>
        <v>-127675.49107404266</v>
      </c>
      <c r="AV102">
        <f t="shared" si="93"/>
        <v>-2.0102005345034808</v>
      </c>
      <c r="AW102">
        <f t="shared" si="94"/>
        <v>-356242.12024737825</v>
      </c>
      <c r="AX102">
        <f t="shared" si="95"/>
        <v>-101238.62226371988</v>
      </c>
      <c r="AY102">
        <f t="shared" si="103"/>
        <v>-2.8647075489910341</v>
      </c>
      <c r="BA102">
        <f t="shared" si="80"/>
        <v>0.38093100194344143</v>
      </c>
      <c r="BB102">
        <f t="shared" si="96"/>
        <v>-8.3830736197624596</v>
      </c>
      <c r="BC102">
        <f t="shared" si="97"/>
        <v>0.85450701448755328</v>
      </c>
      <c r="BD102">
        <f t="shared" si="81"/>
        <v>-131.04035444959436</v>
      </c>
      <c r="BF102">
        <f t="shared" si="82"/>
        <v>-2.2640975313610108</v>
      </c>
      <c r="BG102">
        <f t="shared" si="83"/>
        <v>-116.83044661177989</v>
      </c>
      <c r="BH102">
        <f t="shared" si="98"/>
        <v>63.169553388220109</v>
      </c>
      <c r="BI102">
        <f t="shared" si="99"/>
        <v>63.169553388220109</v>
      </c>
      <c r="BJ102">
        <f t="shared" si="84"/>
        <v>0</v>
      </c>
      <c r="BK102">
        <f t="shared" si="100"/>
        <v>0</v>
      </c>
      <c r="BM102">
        <f t="shared" si="101"/>
        <v>6.1189760884014479</v>
      </c>
      <c r="BN102">
        <f t="shared" si="85"/>
        <v>-165.79009216218554</v>
      </c>
      <c r="BQ102" s="56">
        <f t="shared" si="102"/>
        <v>8.5188871805226771</v>
      </c>
      <c r="BR102" s="59"/>
      <c r="BS102" s="59"/>
      <c r="BT102" s="59">
        <v>831.76400000000001</v>
      </c>
      <c r="BU102" s="59">
        <v>16.509799999999998</v>
      </c>
      <c r="BV102" s="59">
        <v>-262.34320000000002</v>
      </c>
      <c r="BW102" s="61"/>
      <c r="BY102" s="59"/>
      <c r="BZ102" s="59"/>
      <c r="CA102" s="59"/>
      <c r="CC102" s="59"/>
    </row>
    <row r="103" spans="1:81" x14ac:dyDescent="0.2">
      <c r="A103">
        <f t="shared" si="106"/>
        <v>34500</v>
      </c>
      <c r="B103">
        <f t="shared" si="86"/>
        <v>34.5</v>
      </c>
      <c r="C103">
        <f t="shared" si="55"/>
        <v>1.0002349183389181</v>
      </c>
      <c r="D103">
        <f t="shared" si="56"/>
        <v>2.1673594961623899E-2</v>
      </c>
      <c r="F103">
        <f t="shared" si="57"/>
        <v>0.13053287010716602</v>
      </c>
      <c r="G103">
        <f t="shared" si="58"/>
        <v>0.2226001043696276</v>
      </c>
      <c r="H103">
        <f t="shared" si="59"/>
        <v>-2.9189925456303727</v>
      </c>
      <c r="J103">
        <f t="shared" si="60"/>
        <v>15</v>
      </c>
      <c r="M103">
        <f t="shared" si="61"/>
        <v>2.3123743165705046E-2</v>
      </c>
      <c r="N103">
        <f t="shared" si="62"/>
        <v>-1.5707963250000001</v>
      </c>
      <c r="O103">
        <f t="shared" si="63"/>
        <v>4.0279643008061718</v>
      </c>
      <c r="P103">
        <f t="shared" si="64"/>
        <v>1.3199082139356657</v>
      </c>
      <c r="Q103">
        <f t="shared" si="65"/>
        <v>4.2255671986630956</v>
      </c>
      <c r="R103">
        <f t="shared" si="66"/>
        <v>1.3318751152963559</v>
      </c>
      <c r="S103">
        <f t="shared" si="67"/>
        <v>0.99996315875470732</v>
      </c>
      <c r="T103">
        <f t="shared" si="68"/>
        <v>-8.5838769222079947E-3</v>
      </c>
      <c r="U103">
        <f t="shared" si="69"/>
        <v>0.97955779778539565</v>
      </c>
      <c r="V103">
        <f t="shared" si="70"/>
        <v>-0.20254496618976689</v>
      </c>
      <c r="X103">
        <f t="shared" si="87"/>
        <v>-2.4408802709430866</v>
      </c>
      <c r="Y103">
        <f t="shared" si="71"/>
        <v>-116.16494650214005</v>
      </c>
      <c r="Z103">
        <f t="shared" si="88"/>
        <v>63.835053497859946</v>
      </c>
      <c r="AC103">
        <v>1</v>
      </c>
      <c r="AD103">
        <f t="shared" si="72"/>
        <v>3.9018580713000004</v>
      </c>
      <c r="AE103">
        <f t="shared" si="73"/>
        <v>-8.4580535603160885E-4</v>
      </c>
      <c r="AF103">
        <f t="shared" si="74"/>
        <v>4.11862796415E-3</v>
      </c>
      <c r="AG103">
        <f t="shared" si="89"/>
        <v>861.1879425526439</v>
      </c>
      <c r="AH103">
        <f t="shared" si="90"/>
        <v>-419.65367821649636</v>
      </c>
      <c r="AJ103">
        <f t="shared" si="75"/>
        <v>10500</v>
      </c>
      <c r="AK103">
        <f t="shared" si="76"/>
        <v>90.132921447030014</v>
      </c>
      <c r="AL103">
        <v>1</v>
      </c>
      <c r="AM103">
        <f t="shared" si="77"/>
        <v>4.1055350626218603</v>
      </c>
      <c r="AN103">
        <f t="shared" si="91"/>
        <v>608.78125495163329</v>
      </c>
      <c r="AO103">
        <f t="shared" si="92"/>
        <v>-2409.2398662238379</v>
      </c>
      <c r="AQ103">
        <f t="shared" si="78"/>
        <v>2.0999580008399832</v>
      </c>
      <c r="AR103">
        <f t="shared" si="79"/>
        <v>-144.89710205795885</v>
      </c>
      <c r="AT103">
        <f t="shared" si="104"/>
        <v>-58998.143331343141</v>
      </c>
      <c r="AU103">
        <f t="shared" si="105"/>
        <v>-125664.89230228671</v>
      </c>
      <c r="AV103">
        <f t="shared" si="93"/>
        <v>-2.0097376667783942</v>
      </c>
      <c r="AW103">
        <f t="shared" si="94"/>
        <v>-346586.87616131228</v>
      </c>
      <c r="AX103">
        <f t="shared" si="95"/>
        <v>-97263.978515348223</v>
      </c>
      <c r="AY103">
        <f t="shared" si="103"/>
        <v>-2.8679963610198547</v>
      </c>
      <c r="BA103">
        <f t="shared" si="80"/>
        <v>0.38565132966152854</v>
      </c>
      <c r="BB103">
        <f t="shared" si="96"/>
        <v>-8.2761033384772826</v>
      </c>
      <c r="BC103">
        <f t="shared" si="97"/>
        <v>0.85825869424146051</v>
      </c>
      <c r="BD103">
        <f t="shared" si="81"/>
        <v>-130.82539903336516</v>
      </c>
      <c r="BF103">
        <f t="shared" si="82"/>
        <v>-2.4378401778434662</v>
      </c>
      <c r="BG103">
        <f t="shared" si="83"/>
        <v>-116.82954699964424</v>
      </c>
      <c r="BH103">
        <f t="shared" si="98"/>
        <v>63.170453000355764</v>
      </c>
      <c r="BI103">
        <f t="shared" si="99"/>
        <v>63.170453000355764</v>
      </c>
      <c r="BJ103">
        <f t="shared" si="84"/>
        <v>0</v>
      </c>
      <c r="BK103">
        <f t="shared" si="100"/>
        <v>0</v>
      </c>
      <c r="BM103">
        <f t="shared" si="101"/>
        <v>5.8382631606338169</v>
      </c>
      <c r="BN103">
        <f t="shared" si="85"/>
        <v>-166.00414796627908</v>
      </c>
      <c r="BQ103" s="56">
        <f t="shared" si="102"/>
        <v>8.6258574618078541</v>
      </c>
      <c r="BR103" s="59"/>
      <c r="BS103" s="59"/>
      <c r="BT103" s="59">
        <v>851.13800000000003</v>
      </c>
      <c r="BU103" s="59">
        <v>16.276800000000001</v>
      </c>
      <c r="BV103" s="59">
        <v>-262.197</v>
      </c>
      <c r="BW103" s="61"/>
      <c r="BY103" s="59"/>
      <c r="BZ103" s="59"/>
      <c r="CA103" s="59"/>
      <c r="CC103" s="59"/>
    </row>
    <row r="104" spans="1:81" x14ac:dyDescent="0.2">
      <c r="A104">
        <f t="shared" si="106"/>
        <v>35000</v>
      </c>
      <c r="B104">
        <f t="shared" si="86"/>
        <v>35</v>
      </c>
      <c r="C104">
        <f t="shared" si="55"/>
        <v>1.0002417760794378</v>
      </c>
      <c r="D104">
        <f t="shared" si="56"/>
        <v>2.1987604527344402E-2</v>
      </c>
      <c r="F104">
        <f t="shared" si="57"/>
        <v>0.12645126375289698</v>
      </c>
      <c r="G104">
        <f t="shared" si="58"/>
        <v>0.21870196099877454</v>
      </c>
      <c r="H104">
        <f t="shared" si="59"/>
        <v>-2.9228906890012256</v>
      </c>
      <c r="J104">
        <f t="shared" si="60"/>
        <v>15</v>
      </c>
      <c r="M104">
        <f t="shared" si="61"/>
        <v>2.2793403977623541E-2</v>
      </c>
      <c r="N104">
        <f t="shared" si="62"/>
        <v>-1.5707963250000001</v>
      </c>
      <c r="O104">
        <f t="shared" si="63"/>
        <v>4.0827666981301558</v>
      </c>
      <c r="P104">
        <f t="shared" si="64"/>
        <v>1.3233468250029135</v>
      </c>
      <c r="Q104">
        <f t="shared" si="65"/>
        <v>4.2834006707086942</v>
      </c>
      <c r="R104">
        <f t="shared" si="66"/>
        <v>1.335162478911331</v>
      </c>
      <c r="S104">
        <f t="shared" si="67"/>
        <v>0.99996208321556734</v>
      </c>
      <c r="T104">
        <f t="shared" si="68"/>
        <v>-8.7082746912152589E-3</v>
      </c>
      <c r="U104">
        <f t="shared" si="69"/>
        <v>0.97897966454054541</v>
      </c>
      <c r="V104">
        <f t="shared" si="70"/>
        <v>-0.20539909193356135</v>
      </c>
      <c r="X104">
        <f t="shared" si="87"/>
        <v>-2.6114184487112575</v>
      </c>
      <c r="Y104">
        <f t="shared" si="71"/>
        <v>-116.15558910643442</v>
      </c>
      <c r="Z104">
        <f t="shared" si="88"/>
        <v>63.844410893565581</v>
      </c>
      <c r="AC104">
        <v>1</v>
      </c>
      <c r="AD104">
        <f t="shared" si="72"/>
        <v>3.9584067390000004</v>
      </c>
      <c r="AE104">
        <f t="shared" si="73"/>
        <v>-8.7049910618670087E-4</v>
      </c>
      <c r="AF104">
        <f t="shared" si="74"/>
        <v>4.1783182244999996E-3</v>
      </c>
      <c r="AG104">
        <f t="shared" si="89"/>
        <v>860.17169939387725</v>
      </c>
      <c r="AH104">
        <f t="shared" si="90"/>
        <v>-418.53650237440547</v>
      </c>
      <c r="AJ104">
        <f t="shared" si="75"/>
        <v>10500</v>
      </c>
      <c r="AK104">
        <f t="shared" si="76"/>
        <v>91.439195670900006</v>
      </c>
      <c r="AL104">
        <v>1</v>
      </c>
      <c r="AM104">
        <f t="shared" si="77"/>
        <v>4.1650355707758004</v>
      </c>
      <c r="AN104">
        <f t="shared" si="91"/>
        <v>593.04182407878488</v>
      </c>
      <c r="AO104">
        <f t="shared" si="92"/>
        <v>-2378.6010965750038</v>
      </c>
      <c r="AQ104">
        <f t="shared" si="78"/>
        <v>2.0403999183840034</v>
      </c>
      <c r="AR104">
        <f t="shared" si="79"/>
        <v>-142.82799428688023</v>
      </c>
      <c r="AT104">
        <f t="shared" si="104"/>
        <v>-58023.634904742925</v>
      </c>
      <c r="AU104">
        <f t="shared" si="105"/>
        <v>-123710.58041205023</v>
      </c>
      <c r="AV104">
        <f t="shared" si="93"/>
        <v>-2.0093601779330443</v>
      </c>
      <c r="AW104">
        <f t="shared" si="94"/>
        <v>-337310.27461439784</v>
      </c>
      <c r="AX104">
        <f t="shared" si="95"/>
        <v>-93500.516842791229</v>
      </c>
      <c r="AY104">
        <f t="shared" si="103"/>
        <v>-2.8711874796764922</v>
      </c>
      <c r="BA104">
        <f t="shared" si="80"/>
        <v>0.39037308717413832</v>
      </c>
      <c r="BB104">
        <f t="shared" si="96"/>
        <v>-8.1704026159394463</v>
      </c>
      <c r="BC104">
        <f t="shared" si="97"/>
        <v>0.8618273017434479</v>
      </c>
      <c r="BD104">
        <f t="shared" si="81"/>
        <v>-130.62093288452894</v>
      </c>
      <c r="BF104">
        <f t="shared" si="82"/>
        <v>-2.6080141675592139</v>
      </c>
      <c r="BG104">
        <f t="shared" si="83"/>
        <v>-116.8304365912869</v>
      </c>
      <c r="BH104">
        <f t="shared" si="98"/>
        <v>63.169563408713103</v>
      </c>
      <c r="BI104">
        <f t="shared" si="99"/>
        <v>63.169563408713103</v>
      </c>
      <c r="BJ104">
        <f t="shared" si="84"/>
        <v>0</v>
      </c>
      <c r="BK104">
        <f t="shared" si="100"/>
        <v>0</v>
      </c>
      <c r="BM104">
        <f t="shared" si="101"/>
        <v>5.5623884483802328</v>
      </c>
      <c r="BN104">
        <f t="shared" si="85"/>
        <v>-166.20950370675797</v>
      </c>
      <c r="BQ104" s="56">
        <f t="shared" si="102"/>
        <v>8.7315581843456904</v>
      </c>
      <c r="BR104" s="59"/>
      <c r="BS104" s="59"/>
      <c r="BT104" s="59">
        <v>870.96400000000006</v>
      </c>
      <c r="BU104" s="59">
        <v>16.106100000000001</v>
      </c>
      <c r="BV104" s="59">
        <v>-261.76800000000003</v>
      </c>
      <c r="BW104" s="61"/>
      <c r="BY104" s="59"/>
      <c r="BZ104" s="59"/>
      <c r="CA104" s="59"/>
      <c r="CC104" s="59"/>
    </row>
    <row r="105" spans="1:81" x14ac:dyDescent="0.2">
      <c r="A105">
        <f t="shared" si="106"/>
        <v>35500</v>
      </c>
      <c r="B105">
        <f t="shared" si="86"/>
        <v>35.5</v>
      </c>
      <c r="C105">
        <f t="shared" si="55"/>
        <v>1.0002487324444465</v>
      </c>
      <c r="D105">
        <f t="shared" si="56"/>
        <v>2.2301609756382155E-2</v>
      </c>
      <c r="F105">
        <f t="shared" si="57"/>
        <v>0.12256309945868978</v>
      </c>
      <c r="G105">
        <f t="shared" si="58"/>
        <v>0.21494696230458202</v>
      </c>
      <c r="H105">
        <f t="shared" si="59"/>
        <v>-2.9266456876954181</v>
      </c>
      <c r="J105">
        <f t="shared" si="60"/>
        <v>15</v>
      </c>
      <c r="M105">
        <f t="shared" si="61"/>
        <v>2.2472370118783776E-2</v>
      </c>
      <c r="N105">
        <f t="shared" si="62"/>
        <v>-1.5707963250000001</v>
      </c>
      <c r="O105">
        <f t="shared" si="63"/>
        <v>4.1376160911555768</v>
      </c>
      <c r="P105">
        <f t="shared" si="64"/>
        <v>1.326694308406533</v>
      </c>
      <c r="Q105">
        <f t="shared" si="65"/>
        <v>4.341279198828274</v>
      </c>
      <c r="R105">
        <f t="shared" si="66"/>
        <v>1.3383622211783814</v>
      </c>
      <c r="S105">
        <f t="shared" si="67"/>
        <v>0.99996099220458978</v>
      </c>
      <c r="T105">
        <f t="shared" si="68"/>
        <v>-8.8326721906985938E-3</v>
      </c>
      <c r="U105">
        <f t="shared" si="69"/>
        <v>0.97839425742248354</v>
      </c>
      <c r="V105">
        <f t="shared" si="70"/>
        <v>-0.2082498274746413</v>
      </c>
      <c r="X105">
        <f t="shared" si="87"/>
        <v>-2.7785450746667011</v>
      </c>
      <c r="Y105">
        <f t="shared" si="71"/>
        <v>-116.1480776775764</v>
      </c>
      <c r="Z105">
        <f t="shared" si="88"/>
        <v>63.851922322423604</v>
      </c>
      <c r="AC105">
        <v>1</v>
      </c>
      <c r="AD105">
        <f t="shared" si="72"/>
        <v>4.0149554067000004</v>
      </c>
      <c r="AE105">
        <f t="shared" si="73"/>
        <v>-8.9554816209942039E-4</v>
      </c>
      <c r="AF105">
        <f t="shared" si="74"/>
        <v>4.2380084848500001E-3</v>
      </c>
      <c r="AG105">
        <f t="shared" si="89"/>
        <v>859.1432815461576</v>
      </c>
      <c r="AH105">
        <f t="shared" si="90"/>
        <v>-417.5084106353205</v>
      </c>
      <c r="AJ105">
        <f t="shared" si="75"/>
        <v>10500</v>
      </c>
      <c r="AK105">
        <f t="shared" si="76"/>
        <v>92.745469894770011</v>
      </c>
      <c r="AL105">
        <v>1</v>
      </c>
      <c r="AM105">
        <f t="shared" si="77"/>
        <v>4.2245360789297406</v>
      </c>
      <c r="AN105">
        <f t="shared" si="91"/>
        <v>577.91569063319957</v>
      </c>
      <c r="AO105">
        <f t="shared" si="92"/>
        <v>-2348.6802157647799</v>
      </c>
      <c r="AQ105">
        <f t="shared" si="78"/>
        <v>1.9833399444664817</v>
      </c>
      <c r="AR105">
        <f t="shared" si="79"/>
        <v>-140.81713605712019</v>
      </c>
      <c r="AT105">
        <f t="shared" si="104"/>
        <v>-57088.365477115432</v>
      </c>
      <c r="AU105">
        <f t="shared" si="105"/>
        <v>-121810.15747800974</v>
      </c>
      <c r="AV105">
        <f t="shared" si="93"/>
        <v>-2.0090645968350413</v>
      </c>
      <c r="AW105">
        <f t="shared" si="94"/>
        <v>-328393.19993260282</v>
      </c>
      <c r="AX105">
        <f t="shared" si="95"/>
        <v>-89934.421097220475</v>
      </c>
      <c r="AY105">
        <f t="shared" si="103"/>
        <v>-2.8742847324377561</v>
      </c>
      <c r="BA105">
        <f t="shared" si="80"/>
        <v>0.39509576657119677</v>
      </c>
      <c r="BB105">
        <f t="shared" si="96"/>
        <v>-8.0659524746889062</v>
      </c>
      <c r="BC105">
        <f t="shared" si="97"/>
        <v>0.86522013560271471</v>
      </c>
      <c r="BD105">
        <f t="shared" si="81"/>
        <v>-130.42653782358173</v>
      </c>
      <c r="BF105">
        <f t="shared" si="82"/>
        <v>-2.7747723964479807</v>
      </c>
      <c r="BG105">
        <f t="shared" si="83"/>
        <v>-116.83319593345044</v>
      </c>
      <c r="BH105">
        <f t="shared" si="98"/>
        <v>63.16680406654956</v>
      </c>
      <c r="BI105">
        <f t="shared" si="99"/>
        <v>63.16680406654956</v>
      </c>
      <c r="BJ105">
        <f t="shared" si="84"/>
        <v>0</v>
      </c>
      <c r="BK105">
        <f t="shared" si="100"/>
        <v>0</v>
      </c>
      <c r="BM105">
        <f t="shared" si="101"/>
        <v>5.2911800782409246</v>
      </c>
      <c r="BN105">
        <f t="shared" si="85"/>
        <v>-166.40665810986872</v>
      </c>
      <c r="BQ105" s="56">
        <f t="shared" si="102"/>
        <v>8.8360083255962305</v>
      </c>
      <c r="BR105" s="59"/>
      <c r="BS105" s="59"/>
      <c r="BT105" s="59">
        <v>891.25099999999998</v>
      </c>
      <c r="BU105" s="59">
        <v>15.882400000000001</v>
      </c>
      <c r="BV105" s="59">
        <v>-261.38310000000001</v>
      </c>
      <c r="BW105" s="61"/>
      <c r="BY105" s="59"/>
      <c r="BZ105" s="59"/>
      <c r="CA105" s="59"/>
      <c r="CC105" s="59"/>
    </row>
    <row r="106" spans="1:81" x14ac:dyDescent="0.2">
      <c r="A106">
        <f t="shared" si="106"/>
        <v>36000</v>
      </c>
      <c r="B106">
        <f t="shared" si="86"/>
        <v>36</v>
      </c>
      <c r="C106">
        <f t="shared" si="55"/>
        <v>1.0002557874318865</v>
      </c>
      <c r="D106">
        <f t="shared" si="56"/>
        <v>2.261561058690691E-2</v>
      </c>
      <c r="F106">
        <f t="shared" si="57"/>
        <v>0.11885608897652471</v>
      </c>
      <c r="G106">
        <f t="shared" si="58"/>
        <v>0.21132706883672661</v>
      </c>
      <c r="H106">
        <f t="shared" si="59"/>
        <v>-2.9302655811632734</v>
      </c>
      <c r="J106">
        <f t="shared" si="60"/>
        <v>15</v>
      </c>
      <c r="M106">
        <f t="shared" si="61"/>
        <v>2.2160253867133998E-2</v>
      </c>
      <c r="N106">
        <f t="shared" si="62"/>
        <v>-1.5707963250000001</v>
      </c>
      <c r="O106">
        <f t="shared" si="63"/>
        <v>4.1925106353897066</v>
      </c>
      <c r="P106">
        <f t="shared" si="64"/>
        <v>1.3299541671481394</v>
      </c>
      <c r="Q106">
        <f t="shared" si="65"/>
        <v>4.399201004667959</v>
      </c>
      <c r="R106">
        <f t="shared" si="66"/>
        <v>1.3414777362328605</v>
      </c>
      <c r="S106">
        <f t="shared" si="67"/>
        <v>0.99995988572192673</v>
      </c>
      <c r="T106">
        <f t="shared" si="68"/>
        <v>-8.9570694168088442E-3</v>
      </c>
      <c r="U106">
        <f t="shared" si="69"/>
        <v>0.97780161799051635</v>
      </c>
      <c r="V106">
        <f t="shared" si="70"/>
        <v>-0.21109713259896004</v>
      </c>
      <c r="X106">
        <f t="shared" si="87"/>
        <v>-2.9424038524947123</v>
      </c>
      <c r="Y106">
        <f t="shared" si="71"/>
        <v>-116.14247536452709</v>
      </c>
      <c r="Z106">
        <f t="shared" si="88"/>
        <v>63.857524635472913</v>
      </c>
      <c r="AC106">
        <v>1</v>
      </c>
      <c r="AD106">
        <f t="shared" si="72"/>
        <v>4.0715040744000008</v>
      </c>
      <c r="AE106">
        <f t="shared" si="73"/>
        <v>-9.2095252376976698E-4</v>
      </c>
      <c r="AF106">
        <f t="shared" si="74"/>
        <v>4.2976987451999998E-3</v>
      </c>
      <c r="AG106">
        <f t="shared" si="89"/>
        <v>858.10278488348615</v>
      </c>
      <c r="AH106">
        <f t="shared" si="90"/>
        <v>-416.56524375791236</v>
      </c>
      <c r="AJ106">
        <f t="shared" si="75"/>
        <v>10500</v>
      </c>
      <c r="AK106">
        <f t="shared" si="76"/>
        <v>94.051744118640016</v>
      </c>
      <c r="AL106">
        <v>1</v>
      </c>
      <c r="AM106">
        <f t="shared" si="77"/>
        <v>4.2840365870836807</v>
      </c>
      <c r="AN106">
        <f t="shared" si="91"/>
        <v>563.37199955016797</v>
      </c>
      <c r="AO106">
        <f t="shared" si="92"/>
        <v>-2319.4545140927708</v>
      </c>
      <c r="AQ106">
        <f t="shared" si="78"/>
        <v>1.9286403085824493</v>
      </c>
      <c r="AR106">
        <f t="shared" si="79"/>
        <v>-138.86210221793635</v>
      </c>
      <c r="AT106">
        <f t="shared" si="104"/>
        <v>-56190.153839317652</v>
      </c>
      <c r="AU106">
        <f t="shared" si="105"/>
        <v>-119961.36114825249</v>
      </c>
      <c r="AV106">
        <f t="shared" si="93"/>
        <v>-2.0088476231096468</v>
      </c>
      <c r="AW106">
        <f t="shared" si="94"/>
        <v>-319817.69962096593</v>
      </c>
      <c r="AX106">
        <f t="shared" si="95"/>
        <v>-86552.939202048423</v>
      </c>
      <c r="AY106">
        <f t="shared" si="103"/>
        <v>-2.8772917516948828</v>
      </c>
      <c r="BA106">
        <f t="shared" si="80"/>
        <v>0.39981888361439932</v>
      </c>
      <c r="BB106">
        <f t="shared" si="96"/>
        <v>-7.9627339564411059</v>
      </c>
      <c r="BC106">
        <f t="shared" si="97"/>
        <v>0.86844412858523601</v>
      </c>
      <c r="BD106">
        <f t="shared" si="81"/>
        <v>-130.2418166322924</v>
      </c>
      <c r="BF106">
        <f t="shared" si="82"/>
        <v>-2.9382586087414078</v>
      </c>
      <c r="BG106">
        <f t="shared" si="83"/>
        <v>-116.83788843801995</v>
      </c>
      <c r="BH106">
        <f t="shared" si="98"/>
        <v>63.162111561980055</v>
      </c>
      <c r="BI106">
        <f t="shared" si="99"/>
        <v>63.162111561980055</v>
      </c>
      <c r="BJ106">
        <f t="shared" si="84"/>
        <v>0</v>
      </c>
      <c r="BK106">
        <f t="shared" si="100"/>
        <v>0</v>
      </c>
      <c r="BM106">
        <f t="shared" si="101"/>
        <v>5.0244753476996973</v>
      </c>
      <c r="BN106">
        <f t="shared" si="85"/>
        <v>-166.59607180572755</v>
      </c>
      <c r="BQ106" s="56">
        <f t="shared" si="102"/>
        <v>8.9392268438440308</v>
      </c>
      <c r="BR106" s="59"/>
      <c r="BS106" s="59"/>
      <c r="BT106" s="59">
        <v>912.01099999999997</v>
      </c>
      <c r="BU106" s="59">
        <v>15.6715</v>
      </c>
      <c r="BV106" s="59">
        <v>-261.74869999999999</v>
      </c>
      <c r="BW106" s="61"/>
      <c r="BY106" s="59"/>
      <c r="BZ106" s="59"/>
      <c r="CA106" s="59"/>
      <c r="CC106" s="59"/>
    </row>
    <row r="107" spans="1:81" x14ac:dyDescent="0.2">
      <c r="A107">
        <f t="shared" si="106"/>
        <v>36500</v>
      </c>
      <c r="B107">
        <f t="shared" si="86"/>
        <v>36.5</v>
      </c>
      <c r="C107">
        <f t="shared" si="55"/>
        <v>1.0002629410396708</v>
      </c>
      <c r="D107">
        <f t="shared" si="56"/>
        <v>2.2929606957093628E-2</v>
      </c>
      <c r="F107">
        <f t="shared" si="57"/>
        <v>0.11531891999457368</v>
      </c>
      <c r="G107">
        <f t="shared" si="58"/>
        <v>0.20783484331612817</v>
      </c>
      <c r="H107">
        <f t="shared" si="59"/>
        <v>-2.9337578066838721</v>
      </c>
      <c r="J107">
        <f t="shared" si="60"/>
        <v>15</v>
      </c>
      <c r="M107">
        <f t="shared" si="61"/>
        <v>2.1856688745666413E-2</v>
      </c>
      <c r="N107">
        <f t="shared" si="62"/>
        <v>-1.5707963250000001</v>
      </c>
      <c r="O107">
        <f t="shared" si="63"/>
        <v>4.2474485802136943</v>
      </c>
      <c r="P107">
        <f t="shared" si="64"/>
        <v>1.3331297306682037</v>
      </c>
      <c r="Q107">
        <f t="shared" si="65"/>
        <v>4.4571644010183498</v>
      </c>
      <c r="R107">
        <f t="shared" si="66"/>
        <v>1.3445122483934555</v>
      </c>
      <c r="S107">
        <f t="shared" si="67"/>
        <v>0.99995876376773196</v>
      </c>
      <c r="T107">
        <f t="shared" si="68"/>
        <v>-9.081466365696917E-3</v>
      </c>
      <c r="U107">
        <f t="shared" si="69"/>
        <v>0.9772017881799363</v>
      </c>
      <c r="V107">
        <f t="shared" si="70"/>
        <v>-0.21394096741167601</v>
      </c>
      <c r="X107">
        <f t="shared" si="87"/>
        <v>-3.1031300179336414</v>
      </c>
      <c r="Y107">
        <f t="shared" si="71"/>
        <v>-116.13883050676496</v>
      </c>
      <c r="Z107">
        <f t="shared" si="88"/>
        <v>63.861169493235039</v>
      </c>
      <c r="AC107">
        <v>1</v>
      </c>
      <c r="AD107">
        <f t="shared" si="72"/>
        <v>4.1280527421000004</v>
      </c>
      <c r="AE107">
        <f t="shared" si="73"/>
        <v>-9.4671219119774085E-4</v>
      </c>
      <c r="AF107">
        <f t="shared" si="74"/>
        <v>4.3573890055499994E-3</v>
      </c>
      <c r="AG107">
        <f t="shared" si="89"/>
        <v>857.05030604528849</v>
      </c>
      <c r="AH107">
        <f t="shared" si="90"/>
        <v>-415.70306688149202</v>
      </c>
      <c r="AJ107">
        <f t="shared" si="75"/>
        <v>10500</v>
      </c>
      <c r="AK107">
        <f t="shared" si="76"/>
        <v>95.358018342510007</v>
      </c>
      <c r="AL107">
        <v>1</v>
      </c>
      <c r="AM107">
        <f t="shared" si="77"/>
        <v>4.34353709523762</v>
      </c>
      <c r="AN107">
        <f t="shared" si="91"/>
        <v>549.38177341648998</v>
      </c>
      <c r="AO107">
        <f t="shared" si="92"/>
        <v>-2290.9020939394431</v>
      </c>
      <c r="AQ107">
        <f t="shared" si="78"/>
        <v>1.876172607879925</v>
      </c>
      <c r="AR107">
        <f t="shared" si="79"/>
        <v>-136.96060037523452</v>
      </c>
      <c r="AT107">
        <f t="shared" si="104"/>
        <v>-55326.967310138134</v>
      </c>
      <c r="AU107">
        <f t="shared" si="105"/>
        <v>-118162.05517483593</v>
      </c>
      <c r="AV107">
        <f t="shared" si="93"/>
        <v>-2.0087061169603997</v>
      </c>
      <c r="AW107">
        <f t="shared" si="94"/>
        <v>-311566.90267748048</v>
      </c>
      <c r="AX107">
        <f t="shared" si="95"/>
        <v>-83344.289453552716</v>
      </c>
      <c r="AY107">
        <f t="shared" si="103"/>
        <v>-2.8802119867962386</v>
      </c>
      <c r="BA107">
        <f t="shared" si="80"/>
        <v>0.40454197618346494</v>
      </c>
      <c r="BB107">
        <f t="shared" si="96"/>
        <v>-7.8607281668673874</v>
      </c>
      <c r="BC107">
        <f t="shared" si="97"/>
        <v>0.87150586983583889</v>
      </c>
      <c r="BD107">
        <f t="shared" si="81"/>
        <v>-130.06639178047129</v>
      </c>
      <c r="BF107">
        <f t="shared" si="82"/>
        <v>-3.0986080810584218</v>
      </c>
      <c r="BG107">
        <f t="shared" si="83"/>
        <v>-116.84456270305098</v>
      </c>
      <c r="BH107">
        <f t="shared" si="98"/>
        <v>63.155437296949017</v>
      </c>
      <c r="BI107">
        <f t="shared" si="99"/>
        <v>63.155437296949017</v>
      </c>
      <c r="BJ107">
        <f t="shared" si="84"/>
        <v>0</v>
      </c>
      <c r="BK107">
        <f t="shared" si="100"/>
        <v>0</v>
      </c>
      <c r="BM107">
        <f t="shared" si="101"/>
        <v>4.7621200858089665</v>
      </c>
      <c r="BN107">
        <f t="shared" si="85"/>
        <v>-166.77817092257973</v>
      </c>
      <c r="BQ107" s="56">
        <f t="shared" si="102"/>
        <v>9.0412326334177493</v>
      </c>
      <c r="BR107" s="59"/>
      <c r="BS107" s="59"/>
      <c r="BT107" s="59">
        <v>933.25400000000002</v>
      </c>
      <c r="BU107" s="59">
        <v>15.471399999999999</v>
      </c>
      <c r="BV107" s="59">
        <v>-261.20730000000003</v>
      </c>
      <c r="BW107" s="61"/>
      <c r="BY107" s="59"/>
      <c r="BZ107" s="59"/>
      <c r="CA107" s="59"/>
      <c r="CC107" s="59"/>
    </row>
    <row r="108" spans="1:81" x14ac:dyDescent="0.2">
      <c r="A108">
        <f t="shared" si="106"/>
        <v>37000</v>
      </c>
      <c r="B108">
        <f t="shared" si="86"/>
        <v>37</v>
      </c>
      <c r="C108">
        <f t="shared" si="55"/>
        <v>1.0002701932656839</v>
      </c>
      <c r="D108">
        <f t="shared" si="56"/>
        <v>2.3243598805122528E-2</v>
      </c>
      <c r="F108">
        <f t="shared" si="57"/>
        <v>0.11194116353687743</v>
      </c>
      <c r="G108">
        <f t="shared" si="58"/>
        <v>0.20446339487817428</v>
      </c>
      <c r="H108">
        <f t="shared" si="59"/>
        <v>-2.937129255121826</v>
      </c>
      <c r="J108">
        <f t="shared" si="60"/>
        <v>15</v>
      </c>
      <c r="M108">
        <f t="shared" si="61"/>
        <v>2.1561328086941188E-2</v>
      </c>
      <c r="N108">
        <f t="shared" si="62"/>
        <v>-1.5707963250000001</v>
      </c>
      <c r="O108">
        <f t="shared" si="63"/>
        <v>4.3024282630742547</v>
      </c>
      <c r="P108">
        <f t="shared" si="64"/>
        <v>1.336224165226652</v>
      </c>
      <c r="Q108">
        <f t="shared" si="65"/>
        <v>4.5151677861271216</v>
      </c>
      <c r="R108">
        <f t="shared" si="66"/>
        <v>1.3474688224431948</v>
      </c>
      <c r="S108">
        <f t="shared" si="67"/>
        <v>0.9999576263421619</v>
      </c>
      <c r="T108">
        <f t="shared" si="68"/>
        <v>-9.2058630335137663E-3</v>
      </c>
      <c r="U108">
        <f t="shared" si="69"/>
        <v>0.97659481029430806</v>
      </c>
      <c r="V108">
        <f t="shared" si="70"/>
        <v>-0.21678129233965629</v>
      </c>
      <c r="X108">
        <f t="shared" si="87"/>
        <v>-3.2608509629138016</v>
      </c>
      <c r="Y108">
        <f t="shared" si="71"/>
        <v>-116.13717864523423</v>
      </c>
      <c r="Z108">
        <f t="shared" si="88"/>
        <v>63.862821354765771</v>
      </c>
      <c r="AC108">
        <v>1</v>
      </c>
      <c r="AD108">
        <f t="shared" si="72"/>
        <v>4.1846014098000008</v>
      </c>
      <c r="AE108">
        <f t="shared" si="73"/>
        <v>-9.7282716438334168E-4</v>
      </c>
      <c r="AF108">
        <f t="shared" si="74"/>
        <v>4.4170792658999999E-3</v>
      </c>
      <c r="AG108">
        <f t="shared" si="89"/>
        <v>855.98594241546618</v>
      </c>
      <c r="AH108">
        <f t="shared" si="90"/>
        <v>-414.91815446029</v>
      </c>
      <c r="AJ108">
        <f t="shared" si="75"/>
        <v>10500</v>
      </c>
      <c r="AK108">
        <f t="shared" si="76"/>
        <v>96.664292566380013</v>
      </c>
      <c r="AL108">
        <v>1</v>
      </c>
      <c r="AM108">
        <f t="shared" si="77"/>
        <v>4.4030376033915601</v>
      </c>
      <c r="AN108">
        <f t="shared" si="91"/>
        <v>535.91777997455881</v>
      </c>
      <c r="AO108">
        <f t="shared" si="92"/>
        <v>-2263.0018449877275</v>
      </c>
      <c r="AQ108">
        <f t="shared" si="78"/>
        <v>1.8258170531312763</v>
      </c>
      <c r="AR108">
        <f t="shared" si="79"/>
        <v>-135.11046193171444</v>
      </c>
      <c r="AT108">
        <f t="shared" si="104"/>
        <v>-54496.909782081413</v>
      </c>
      <c r="AU108">
        <f t="shared" si="105"/>
        <v>-116410.22072887491</v>
      </c>
      <c r="AV108">
        <f t="shared" si="93"/>
        <v>-2.0086370896894694</v>
      </c>
      <c r="AW108">
        <f t="shared" si="94"/>
        <v>-303624.94431602699</v>
      </c>
      <c r="AX108">
        <f t="shared" si="95"/>
        <v>-80297.57606066532</v>
      </c>
      <c r="AY108">
        <f t="shared" si="103"/>
        <v>-2.8830487152262254</v>
      </c>
      <c r="BA108">
        <f t="shared" si="80"/>
        <v>0.40926460284868887</v>
      </c>
      <c r="BB108">
        <f t="shared" si="96"/>
        <v>-7.7599163141439043</v>
      </c>
      <c r="BC108">
        <f t="shared" si="97"/>
        <v>0.874411625536756</v>
      </c>
      <c r="BD108">
        <f t="shared" si="81"/>
        <v>-129.89990424232241</v>
      </c>
      <c r="BF108">
        <f t="shared" si="82"/>
        <v>-3.2559482465355187</v>
      </c>
      <c r="BG108">
        <f t="shared" si="83"/>
        <v>-116.85325452374943</v>
      </c>
      <c r="BH108">
        <f t="shared" si="98"/>
        <v>63.146745476250572</v>
      </c>
      <c r="BI108">
        <f t="shared" si="99"/>
        <v>63.146745476250572</v>
      </c>
      <c r="BJ108">
        <f t="shared" si="84"/>
        <v>0</v>
      </c>
      <c r="BK108">
        <f t="shared" si="100"/>
        <v>0</v>
      </c>
      <c r="BM108">
        <f t="shared" si="101"/>
        <v>4.5039680676083851</v>
      </c>
      <c r="BN108">
        <f t="shared" si="85"/>
        <v>-166.95335028142702</v>
      </c>
      <c r="BQ108" s="56">
        <f t="shared" si="102"/>
        <v>9.1420444861412307</v>
      </c>
      <c r="BR108" s="59"/>
      <c r="BS108" s="59"/>
      <c r="BT108" s="59">
        <v>954.99300000000005</v>
      </c>
      <c r="BU108" s="59">
        <v>15.352499999999999</v>
      </c>
      <c r="BV108" s="59">
        <v>-261.26609999999999</v>
      </c>
      <c r="BW108" s="61"/>
      <c r="BY108" s="59"/>
      <c r="BZ108" s="59"/>
      <c r="CA108" s="59"/>
      <c r="CC108" s="59"/>
    </row>
    <row r="109" spans="1:81" x14ac:dyDescent="0.2">
      <c r="A109">
        <f t="shared" si="106"/>
        <v>37500</v>
      </c>
      <c r="B109">
        <f t="shared" si="86"/>
        <v>37.5</v>
      </c>
      <c r="C109">
        <f t="shared" si="55"/>
        <v>1.0002775441077805</v>
      </c>
      <c r="D109">
        <f t="shared" si="56"/>
        <v>2.3557586069179192E-2</v>
      </c>
      <c r="F109">
        <f t="shared" si="57"/>
        <v>0.10871319152741787</v>
      </c>
      <c r="G109">
        <f t="shared" si="58"/>
        <v>0.20120632940505229</v>
      </c>
      <c r="H109">
        <f t="shared" si="59"/>
        <v>-2.9403863205949481</v>
      </c>
      <c r="J109">
        <f t="shared" si="60"/>
        <v>15</v>
      </c>
      <c r="M109">
        <f t="shared" si="61"/>
        <v>2.1273843712448642E-2</v>
      </c>
      <c r="N109">
        <f t="shared" si="62"/>
        <v>-1.5707963250000001</v>
      </c>
      <c r="O109">
        <f t="shared" si="63"/>
        <v>4.3574481040946722</v>
      </c>
      <c r="P109">
        <f t="shared" si="64"/>
        <v>1.3392404835653204</v>
      </c>
      <c r="Q109">
        <f t="shared" si="65"/>
        <v>4.5732096384263956</v>
      </c>
      <c r="R109">
        <f t="shared" si="66"/>
        <v>1.3503503731883795</v>
      </c>
      <c r="S109">
        <f t="shared" si="67"/>
        <v>0.99995647344537508</v>
      </c>
      <c r="T109">
        <f t="shared" si="68"/>
        <v>-9.3302594164103945E-3</v>
      </c>
      <c r="U109">
        <f t="shared" si="69"/>
        <v>0.9759807269977272</v>
      </c>
      <c r="V109">
        <f t="shared" si="70"/>
        <v>-0.21961806813391058</v>
      </c>
      <c r="X109">
        <f t="shared" si="87"/>
        <v>-3.4156868056350485</v>
      </c>
      <c r="Y109">
        <f t="shared" si="71"/>
        <v>-116.13754426692783</v>
      </c>
      <c r="Z109">
        <f t="shared" si="88"/>
        <v>63.862455733072167</v>
      </c>
      <c r="AC109">
        <v>1</v>
      </c>
      <c r="AD109">
        <f t="shared" si="72"/>
        <v>4.2411500775000004</v>
      </c>
      <c r="AE109">
        <f t="shared" si="73"/>
        <v>-9.9929744332657002E-4</v>
      </c>
      <c r="AF109">
        <f t="shared" si="74"/>
        <v>4.4767695262499995E-3</v>
      </c>
      <c r="AG109">
        <f t="shared" si="89"/>
        <v>854.90979210140699</v>
      </c>
      <c r="AH109">
        <f t="shared" si="90"/>
        <v>-414.20697640315245</v>
      </c>
      <c r="AJ109">
        <f t="shared" si="75"/>
        <v>10500</v>
      </c>
      <c r="AK109">
        <f t="shared" si="76"/>
        <v>97.970566790250018</v>
      </c>
      <c r="AL109">
        <v>1</v>
      </c>
      <c r="AM109">
        <f t="shared" si="77"/>
        <v>4.4625381115455003</v>
      </c>
      <c r="AN109">
        <f t="shared" si="91"/>
        <v>522.95441014227106</v>
      </c>
      <c r="AO109">
        <f t="shared" si="92"/>
        <v>-2235.7334190704319</v>
      </c>
      <c r="AQ109">
        <f t="shared" si="78"/>
        <v>1.7774617845716316</v>
      </c>
      <c r="AR109">
        <f t="shared" si="79"/>
        <v>-133.30963384287239</v>
      </c>
      <c r="AT109">
        <f t="shared" si="104"/>
        <v>-53698.210874751203</v>
      </c>
      <c r="AU109">
        <f t="shared" si="105"/>
        <v>-114703.94842518428</v>
      </c>
      <c r="AV109">
        <f t="shared" si="93"/>
        <v>-2.0086376948642375</v>
      </c>
      <c r="AW109">
        <f t="shared" si="94"/>
        <v>-295976.89655195939</v>
      </c>
      <c r="AX109">
        <f t="shared" si="95"/>
        <v>-77402.712919699115</v>
      </c>
      <c r="AY109">
        <f t="shared" si="103"/>
        <v>-2.8858050529903254</v>
      </c>
      <c r="BA109">
        <f t="shared" si="80"/>
        <v>0.41398634155798175</v>
      </c>
      <c r="BB109">
        <f t="shared" si="96"/>
        <v>-7.6602797420192701</v>
      </c>
      <c r="BC109">
        <f t="shared" si="97"/>
        <v>0.87716735812608793</v>
      </c>
      <c r="BD109">
        <f t="shared" si="81"/>
        <v>-129.74201239530663</v>
      </c>
      <c r="BF109">
        <f t="shared" si="82"/>
        <v>-3.4103992648958199</v>
      </c>
      <c r="BG109">
        <f t="shared" si="83"/>
        <v>-116.8639886370827</v>
      </c>
      <c r="BH109">
        <f t="shared" si="98"/>
        <v>63.136011362917301</v>
      </c>
      <c r="BI109">
        <f t="shared" si="99"/>
        <v>63.136011362917301</v>
      </c>
      <c r="BJ109">
        <f t="shared" si="84"/>
        <v>0</v>
      </c>
      <c r="BK109">
        <f t="shared" si="100"/>
        <v>0</v>
      </c>
      <c r="BM109">
        <f t="shared" si="101"/>
        <v>4.2498804771234502</v>
      </c>
      <c r="BN109">
        <f t="shared" si="85"/>
        <v>-167.12197624177608</v>
      </c>
      <c r="BQ109" s="56">
        <f t="shared" si="102"/>
        <v>9.2416810582658666</v>
      </c>
      <c r="BR109" s="59"/>
      <c r="BS109" s="59"/>
      <c r="BT109" s="59">
        <v>977.23699999999997</v>
      </c>
      <c r="BU109" s="59">
        <v>15.0807</v>
      </c>
      <c r="BV109" s="59">
        <v>-260.93240000000003</v>
      </c>
      <c r="BW109" s="61"/>
      <c r="BY109" s="59"/>
      <c r="BZ109" s="59"/>
      <c r="CA109" s="59"/>
      <c r="CC109" s="59"/>
    </row>
    <row r="110" spans="1:81" x14ac:dyDescent="0.2">
      <c r="A110">
        <f t="shared" si="106"/>
        <v>38000</v>
      </c>
      <c r="B110">
        <f t="shared" si="86"/>
        <v>38</v>
      </c>
      <c r="C110">
        <f t="shared" si="55"/>
        <v>1.0002849935637863</v>
      </c>
      <c r="D110">
        <f t="shared" si="56"/>
        <v>2.3871568687454613E-2</v>
      </c>
      <c r="F110">
        <f t="shared" si="57"/>
        <v>0.10562610325856157</v>
      </c>
      <c r="G110">
        <f t="shared" si="58"/>
        <v>0.19805770518708468</v>
      </c>
      <c r="H110">
        <f t="shared" si="59"/>
        <v>-2.9435349448129156</v>
      </c>
      <c r="J110">
        <f t="shared" si="60"/>
        <v>15</v>
      </c>
      <c r="M110">
        <f t="shared" si="61"/>
        <v>2.099392471623221E-2</v>
      </c>
      <c r="N110">
        <f t="shared" si="62"/>
        <v>-1.5707963250000001</v>
      </c>
      <c r="O110">
        <f t="shared" si="63"/>
        <v>4.4125066010708309</v>
      </c>
      <c r="P110">
        <f t="shared" si="64"/>
        <v>1.3421815539079622</v>
      </c>
      <c r="Q110">
        <f t="shared" si="65"/>
        <v>4.6312885116404932</v>
      </c>
      <c r="R110">
        <f t="shared" si="66"/>
        <v>1.3531596743525076</v>
      </c>
      <c r="S110">
        <f t="shared" si="67"/>
        <v>0.99995530507753194</v>
      </c>
      <c r="T110">
        <f t="shared" si="68"/>
        <v>-9.4546555105378596E-3</v>
      </c>
      <c r="U110">
        <f t="shared" si="69"/>
        <v>0.97535958130705513</v>
      </c>
      <c r="V110">
        <f t="shared" si="70"/>
        <v>-0.22245125587195561</v>
      </c>
      <c r="X110">
        <f t="shared" si="87"/>
        <v>-3.567750911857563</v>
      </c>
      <c r="Y110">
        <f t="shared" si="71"/>
        <v>-116.13994232019458</v>
      </c>
      <c r="Z110">
        <f t="shared" si="88"/>
        <v>63.860057679805422</v>
      </c>
      <c r="AC110">
        <v>1</v>
      </c>
      <c r="AD110">
        <f t="shared" si="72"/>
        <v>4.2976987452000008</v>
      </c>
      <c r="AE110">
        <f t="shared" si="73"/>
        <v>-1.0261230280274255E-3</v>
      </c>
      <c r="AF110">
        <f t="shared" si="74"/>
        <v>4.5364597865999992E-3</v>
      </c>
      <c r="AG110">
        <f t="shared" si="89"/>
        <v>853.82195391296864</v>
      </c>
      <c r="AH110">
        <f t="shared" si="90"/>
        <v>-413.56618530759511</v>
      </c>
      <c r="AJ110">
        <f t="shared" si="75"/>
        <v>10500</v>
      </c>
      <c r="AK110">
        <f t="shared" si="76"/>
        <v>99.276841014120009</v>
      </c>
      <c r="AL110">
        <v>1</v>
      </c>
      <c r="AM110">
        <f t="shared" si="77"/>
        <v>4.5220386196994404</v>
      </c>
      <c r="AN110">
        <f t="shared" si="91"/>
        <v>510.46756563261323</v>
      </c>
      <c r="AO110">
        <f t="shared" si="92"/>
        <v>-2209.0772048805156</v>
      </c>
      <c r="AQ110">
        <f t="shared" si="78"/>
        <v>1.7310022503029254</v>
      </c>
      <c r="AR110">
        <f t="shared" si="79"/>
        <v>-131.55617102302233</v>
      </c>
      <c r="AT110">
        <f t="shared" si="104"/>
        <v>-52929.216080083541</v>
      </c>
      <c r="AU110">
        <f t="shared" si="105"/>
        <v>-113041.43098960225</v>
      </c>
      <c r="AV110">
        <f t="shared" si="93"/>
        <v>-2.0087052200810307</v>
      </c>
      <c r="AW110">
        <f t="shared" si="94"/>
        <v>-288608.70415314636</v>
      </c>
      <c r="AX110">
        <f t="shared" si="95"/>
        <v>-74650.354738627924</v>
      </c>
      <c r="AY110">
        <f t="shared" si="103"/>
        <v>-2.8884839642699509</v>
      </c>
      <c r="BA110">
        <f t="shared" si="80"/>
        <v>0.41870678842783848</v>
      </c>
      <c r="BB110">
        <f t="shared" si="96"/>
        <v>-7.5617999580601882</v>
      </c>
      <c r="BC110">
        <f t="shared" si="97"/>
        <v>0.87977874418892021</v>
      </c>
      <c r="BD110">
        <f t="shared" si="81"/>
        <v>-129.59239099505609</v>
      </c>
      <c r="BF110">
        <f t="shared" si="82"/>
        <v>-3.5620745437312089</v>
      </c>
      <c r="BG110">
        <f t="shared" si="83"/>
        <v>-116.8767802371123</v>
      </c>
      <c r="BH110">
        <f t="shared" si="98"/>
        <v>63.1232197628877</v>
      </c>
      <c r="BI110">
        <f t="shared" si="99"/>
        <v>63.1232197628877</v>
      </c>
      <c r="BJ110">
        <f t="shared" si="84"/>
        <v>0</v>
      </c>
      <c r="BK110">
        <f t="shared" si="100"/>
        <v>0</v>
      </c>
      <c r="BM110">
        <f t="shared" si="101"/>
        <v>3.9997254143289807</v>
      </c>
      <c r="BN110">
        <f t="shared" si="85"/>
        <v>-167.28438924205622</v>
      </c>
      <c r="BQ110" s="56">
        <f t="shared" si="102"/>
        <v>9.3401608422249485</v>
      </c>
      <c r="BR110" s="59"/>
      <c r="BS110" s="59"/>
      <c r="BT110" s="59">
        <v>1000</v>
      </c>
      <c r="BU110" s="59">
        <v>14.883800000000001</v>
      </c>
      <c r="BV110" s="59">
        <v>-260.5154</v>
      </c>
      <c r="BW110" s="61"/>
      <c r="BY110" s="59"/>
      <c r="BZ110" s="59"/>
      <c r="CA110" s="59"/>
      <c r="CC110" s="59"/>
    </row>
    <row r="111" spans="1:81" x14ac:dyDescent="0.2">
      <c r="A111">
        <f t="shared" si="106"/>
        <v>38500</v>
      </c>
      <c r="B111">
        <f t="shared" si="86"/>
        <v>38.5</v>
      </c>
      <c r="C111">
        <f t="shared" si="55"/>
        <v>1.0002925416314985</v>
      </c>
      <c r="D111">
        <f t="shared" si="56"/>
        <v>2.4185546598145275E-2</v>
      </c>
      <c r="F111">
        <f t="shared" si="57"/>
        <v>0.10267165967698354</v>
      </c>
      <c r="G111">
        <f t="shared" si="58"/>
        <v>0.19501199325903909</v>
      </c>
      <c r="H111">
        <f t="shared" si="59"/>
        <v>-2.9465806567409611</v>
      </c>
      <c r="J111">
        <f t="shared" si="60"/>
        <v>15</v>
      </c>
      <c r="M111">
        <f t="shared" si="61"/>
        <v>2.0721276343294133E-2</v>
      </c>
      <c r="N111">
        <f t="shared" si="62"/>
        <v>-1.5707963250000001</v>
      </c>
      <c r="O111">
        <f t="shared" si="63"/>
        <v>4.467602324821037</v>
      </c>
      <c r="P111">
        <f t="shared" si="64"/>
        <v>1.3450501083487876</v>
      </c>
      <c r="Q111">
        <f t="shared" si="65"/>
        <v>4.6894030302429233</v>
      </c>
      <c r="R111">
        <f t="shared" si="66"/>
        <v>1.3558993668573105</v>
      </c>
      <c r="S111">
        <f t="shared" si="67"/>
        <v>0.99995412123879501</v>
      </c>
      <c r="T111">
        <f t="shared" si="68"/>
        <v>-9.5790513120472768E-3</v>
      </c>
      <c r="U111">
        <f t="shared" si="69"/>
        <v>0.97473141658413465</v>
      </c>
      <c r="V111">
        <f t="shared" si="70"/>
        <v>-0.2252808169601096</v>
      </c>
      <c r="X111">
        <f t="shared" si="87"/>
        <v>-3.7171503721203694</v>
      </c>
      <c r="Y111">
        <f t="shared" si="71"/>
        <v>-116.14437953233609</v>
      </c>
      <c r="Z111">
        <f t="shared" si="88"/>
        <v>63.855620467663911</v>
      </c>
      <c r="AC111">
        <v>1</v>
      </c>
      <c r="AD111">
        <f t="shared" si="72"/>
        <v>4.3542474129000004</v>
      </c>
      <c r="AE111">
        <f t="shared" si="73"/>
        <v>-1.0533039184859082E-3</v>
      </c>
      <c r="AF111">
        <f t="shared" si="74"/>
        <v>4.5961500469499997E-3</v>
      </c>
      <c r="AG111">
        <f t="shared" si="89"/>
        <v>852.72252734144308</v>
      </c>
      <c r="AH111">
        <f t="shared" si="90"/>
        <v>-412.99260468869522</v>
      </c>
      <c r="AJ111">
        <f t="shared" si="75"/>
        <v>10500</v>
      </c>
      <c r="AK111">
        <f t="shared" si="76"/>
        <v>100.58311523799001</v>
      </c>
      <c r="AL111">
        <v>1</v>
      </c>
      <c r="AM111">
        <f t="shared" si="77"/>
        <v>4.5815391278533806</v>
      </c>
      <c r="AN111">
        <f t="shared" si="91"/>
        <v>498.43455534251638</v>
      </c>
      <c r="AO111">
        <f t="shared" si="92"/>
        <v>-2183.0143027379499</v>
      </c>
      <c r="AQ111">
        <f t="shared" si="78"/>
        <v>1.6863406408094435</v>
      </c>
      <c r="AR111">
        <f t="shared" si="79"/>
        <v>-129.84822934232716</v>
      </c>
      <c r="AT111">
        <f t="shared" si="104"/>
        <v>-52188.377797113135</v>
      </c>
      <c r="AU111">
        <f t="shared" si="105"/>
        <v>-111420.95650924084</v>
      </c>
      <c r="AV111">
        <f t="shared" si="93"/>
        <v>-2.0088370792809425</v>
      </c>
      <c r="AW111">
        <f t="shared" si="94"/>
        <v>-281507.12550396315</v>
      </c>
      <c r="AX111">
        <f t="shared" si="95"/>
        <v>-72031.834729223352</v>
      </c>
      <c r="AY111">
        <f t="shared" si="103"/>
        <v>-2.8910882704051488</v>
      </c>
      <c r="BA111">
        <f t="shared" si="80"/>
        <v>0.42342555662877007</v>
      </c>
      <c r="BB111">
        <f t="shared" si="96"/>
        <v>-7.4644586576551983</v>
      </c>
      <c r="BC111">
        <f t="shared" si="97"/>
        <v>0.88225119112420636</v>
      </c>
      <c r="BD111">
        <f t="shared" si="81"/>
        <v>-129.45073022043226</v>
      </c>
      <c r="BF111">
        <f t="shared" si="82"/>
        <v>-3.7110812157122992</v>
      </c>
      <c r="BG111">
        <f t="shared" si="83"/>
        <v>-116.89163629261409</v>
      </c>
      <c r="BH111">
        <f t="shared" si="98"/>
        <v>63.108363707385905</v>
      </c>
      <c r="BI111">
        <f t="shared" si="99"/>
        <v>63.108363707385905</v>
      </c>
      <c r="BJ111">
        <f t="shared" si="84"/>
        <v>0</v>
      </c>
      <c r="BK111">
        <f t="shared" si="100"/>
        <v>0</v>
      </c>
      <c r="BM111">
        <f t="shared" si="101"/>
        <v>3.7533774419429</v>
      </c>
      <c r="BN111">
        <f t="shared" si="85"/>
        <v>-167.44090607218186</v>
      </c>
      <c r="BQ111" s="56">
        <f t="shared" si="102"/>
        <v>9.4375021426299384</v>
      </c>
      <c r="BR111" s="59"/>
      <c r="BS111" s="59"/>
      <c r="BT111" s="59">
        <v>1023.293</v>
      </c>
      <c r="BU111" s="59">
        <v>14.7437</v>
      </c>
      <c r="BV111" s="59">
        <v>-261.12389999999999</v>
      </c>
      <c r="BW111" s="61"/>
      <c r="BY111" s="59"/>
      <c r="BZ111" s="59"/>
      <c r="CA111" s="59"/>
      <c r="CC111" s="59"/>
    </row>
    <row r="112" spans="1:81" x14ac:dyDescent="0.2">
      <c r="A112">
        <f t="shared" si="106"/>
        <v>39000</v>
      </c>
      <c r="B112">
        <f t="shared" si="86"/>
        <v>39</v>
      </c>
      <c r="C112">
        <f t="shared" si="55"/>
        <v>1.0003001883086846</v>
      </c>
      <c r="D112">
        <f t="shared" si="56"/>
        <v>2.4499519739453239E-2</v>
      </c>
      <c r="F112">
        <f t="shared" si="57"/>
        <v>9.9842224547337807E-2</v>
      </c>
      <c r="G112">
        <f t="shared" si="58"/>
        <v>0.19206404184718226</v>
      </c>
      <c r="H112">
        <f t="shared" si="59"/>
        <v>-2.9495286081528178</v>
      </c>
      <c r="J112">
        <f t="shared" si="60"/>
        <v>15</v>
      </c>
      <c r="M112">
        <f t="shared" si="61"/>
        <v>2.0455618954277537E-2</v>
      </c>
      <c r="N112">
        <f t="shared" si="62"/>
        <v>-1.5707963250000001</v>
      </c>
      <c r="O112">
        <f t="shared" si="63"/>
        <v>4.5227339148612664</v>
      </c>
      <c r="P112">
        <f t="shared" si="64"/>
        <v>1.3478487506762198</v>
      </c>
      <c r="Q112">
        <f t="shared" si="65"/>
        <v>4.7475518852342153</v>
      </c>
      <c r="R112">
        <f t="shared" si="66"/>
        <v>1.3585719665385221</v>
      </c>
      <c r="S112">
        <f t="shared" si="67"/>
        <v>0.99995292192932939</v>
      </c>
      <c r="T112">
        <f t="shared" si="68"/>
        <v>-9.7034468170898117E-3</v>
      </c>
      <c r="U112">
        <f t="shared" si="69"/>
        <v>0.97409627652798447</v>
      </c>
      <c r="V112">
        <f t="shared" si="70"/>
        <v>-0.22810671313571723</v>
      </c>
      <c r="X112">
        <f t="shared" si="87"/>
        <v>-3.8639864391049721</v>
      </c>
      <c r="Y112">
        <f t="shared" si="71"/>
        <v>-116.15085555641893</v>
      </c>
      <c r="Z112">
        <f t="shared" si="88"/>
        <v>63.849144443581068</v>
      </c>
      <c r="AC112">
        <v>1</v>
      </c>
      <c r="AD112">
        <f t="shared" si="72"/>
        <v>4.4107960806000008</v>
      </c>
      <c r="AE112">
        <f t="shared" si="73"/>
        <v>-1.0808401147020183E-3</v>
      </c>
      <c r="AF112">
        <f t="shared" si="74"/>
        <v>4.6558403072999993E-3</v>
      </c>
      <c r="AG112">
        <f t="shared" si="89"/>
        <v>851.61161253850855</v>
      </c>
      <c r="AH112">
        <f t="shared" si="90"/>
        <v>-412.483218113509</v>
      </c>
      <c r="AJ112">
        <f t="shared" si="75"/>
        <v>10500</v>
      </c>
      <c r="AK112">
        <f t="shared" si="76"/>
        <v>101.88938946186001</v>
      </c>
      <c r="AL112">
        <v>1</v>
      </c>
      <c r="AM112">
        <f t="shared" si="77"/>
        <v>4.6410396360073198</v>
      </c>
      <c r="AN112">
        <f t="shared" si="91"/>
        <v>486.83399975786148</v>
      </c>
      <c r="AO112">
        <f t="shared" si="92"/>
        <v>-2157.5264995703528</v>
      </c>
      <c r="AQ112">
        <f t="shared" si="78"/>
        <v>1.6433853738701725</v>
      </c>
      <c r="AR112">
        <f t="shared" si="79"/>
        <v>-128.18405916187345</v>
      </c>
      <c r="AT112">
        <f t="shared" si="104"/>
        <v>-51474.247165678215</v>
      </c>
      <c r="AU112">
        <f t="shared" si="105"/>
        <v>-109840.90221218928</v>
      </c>
      <c r="AV112">
        <f t="shared" si="93"/>
        <v>-2.0090308055763901</v>
      </c>
      <c r="AW112">
        <f t="shared" si="94"/>
        <v>-274659.67797030247</v>
      </c>
      <c r="AX112">
        <f t="shared" si="95"/>
        <v>-69539.108175938716</v>
      </c>
      <c r="AY112">
        <f t="shared" si="103"/>
        <v>-2.8936206582580852</v>
      </c>
      <c r="BA112">
        <f t="shared" si="80"/>
        <v>0.42814227535670796</v>
      </c>
      <c r="BB112">
        <f t="shared" si="96"/>
        <v>-7.3682377442871658</v>
      </c>
      <c r="BC112">
        <f t="shared" si="97"/>
        <v>0.8845898526816951</v>
      </c>
      <c r="BD112">
        <f t="shared" si="81"/>
        <v>-129.31673478332556</v>
      </c>
      <c r="BF112">
        <f t="shared" si="82"/>
        <v>-3.8575205759433717</v>
      </c>
      <c r="BG112">
        <f t="shared" si="83"/>
        <v>-116.90855669391144</v>
      </c>
      <c r="BH112">
        <f t="shared" si="98"/>
        <v>63.091443306088564</v>
      </c>
      <c r="BI112">
        <f t="shared" si="99"/>
        <v>63.091443306088564</v>
      </c>
      <c r="BJ112">
        <f t="shared" si="84"/>
        <v>0</v>
      </c>
      <c r="BK112">
        <f t="shared" si="100"/>
        <v>0</v>
      </c>
      <c r="BM112">
        <f t="shared" si="101"/>
        <v>3.5107171683437937</v>
      </c>
      <c r="BN112">
        <f t="shared" si="85"/>
        <v>-167.59182191058588</v>
      </c>
      <c r="BQ112" s="56">
        <f t="shared" si="102"/>
        <v>9.5337230559979709</v>
      </c>
      <c r="BR112" s="59"/>
      <c r="BS112" s="59"/>
      <c r="BT112" s="59">
        <v>1047.1289999999999</v>
      </c>
      <c r="BU112" s="59">
        <v>14.586600000000001</v>
      </c>
      <c r="BV112" s="59">
        <v>-260.40769999999998</v>
      </c>
      <c r="BW112" s="61"/>
      <c r="BY112" s="59"/>
      <c r="BZ112" s="59"/>
      <c r="CA112" s="59"/>
      <c r="CC112" s="59"/>
    </row>
    <row r="113" spans="1:81" x14ac:dyDescent="0.2">
      <c r="A113">
        <f t="shared" si="106"/>
        <v>39500</v>
      </c>
      <c r="B113">
        <f t="shared" si="86"/>
        <v>39.5</v>
      </c>
      <c r="C113">
        <f t="shared" si="55"/>
        <v>1.0003079335930833</v>
      </c>
      <c r="D113">
        <f t="shared" si="56"/>
        <v>2.4813488049586194E-2</v>
      </c>
      <c r="F113">
        <f t="shared" si="57"/>
        <v>9.7130711679326742E-2</v>
      </c>
      <c r="G113">
        <f t="shared" si="58"/>
        <v>0.18920904443907724</v>
      </c>
      <c r="H113">
        <f t="shared" si="59"/>
        <v>-2.9523836055609229</v>
      </c>
      <c r="J113">
        <f t="shared" si="60"/>
        <v>15</v>
      </c>
      <c r="M113">
        <f t="shared" si="61"/>
        <v>2.0196687068780354E-2</v>
      </c>
      <c r="N113">
        <f t="shared" si="62"/>
        <v>-1.5707963250000001</v>
      </c>
      <c r="O113">
        <f t="shared" si="63"/>
        <v>4.5779000753799322</v>
      </c>
      <c r="P113">
        <f t="shared" si="64"/>
        <v>1.3505799636746418</v>
      </c>
      <c r="Q113">
        <f t="shared" si="65"/>
        <v>4.8057338302148569</v>
      </c>
      <c r="R113">
        <f t="shared" si="66"/>
        <v>1.3611798713399317</v>
      </c>
      <c r="S113">
        <f t="shared" si="67"/>
        <v>0.99995170714930193</v>
      </c>
      <c r="T113">
        <f t="shared" si="68"/>
        <v>-9.8278420218166837E-3</v>
      </c>
      <c r="U113">
        <f t="shared" si="69"/>
        <v>0.97345420516698011</v>
      </c>
      <c r="V113">
        <f t="shared" si="70"/>
        <v>-0.23092890646930458</v>
      </c>
      <c r="X113">
        <f t="shared" si="87"/>
        <v>-4.0083549289190117</v>
      </c>
      <c r="Y113">
        <f t="shared" si="71"/>
        <v>-116.15936397031587</v>
      </c>
      <c r="Z113">
        <f t="shared" si="88"/>
        <v>63.840636029684134</v>
      </c>
      <c r="AC113">
        <v>1</v>
      </c>
      <c r="AD113">
        <f t="shared" si="72"/>
        <v>4.4673447483000004</v>
      </c>
      <c r="AE113">
        <f t="shared" si="73"/>
        <v>-1.1087316166757553E-3</v>
      </c>
      <c r="AF113">
        <f t="shared" si="74"/>
        <v>4.7155305676499998E-3</v>
      </c>
      <c r="AG113">
        <f t="shared" si="89"/>
        <v>850.48931029517382</v>
      </c>
      <c r="AH113">
        <f t="shared" si="90"/>
        <v>-412.03515916074298</v>
      </c>
      <c r="AJ113">
        <f t="shared" si="75"/>
        <v>10500</v>
      </c>
      <c r="AK113">
        <f t="shared" si="76"/>
        <v>103.19566368573</v>
      </c>
      <c r="AL113">
        <v>1</v>
      </c>
      <c r="AM113">
        <f t="shared" si="77"/>
        <v>4.7005401441612609</v>
      </c>
      <c r="AN113">
        <f t="shared" si="91"/>
        <v>475.6457426912425</v>
      </c>
      <c r="AO113">
        <f t="shared" si="92"/>
        <v>-2132.5962442338528</v>
      </c>
      <c r="AQ113">
        <f t="shared" si="78"/>
        <v>1.6020506247997437</v>
      </c>
      <c r="AR113">
        <f t="shared" si="79"/>
        <v>-126.56199935917975</v>
      </c>
      <c r="AT113">
        <f t="shared" si="104"/>
        <v>-50785.46661871759</v>
      </c>
      <c r="AU113">
        <f t="shared" si="105"/>
        <v>-108299.72872873995</v>
      </c>
      <c r="AV113">
        <f t="shared" si="93"/>
        <v>-2.0092840445504039</v>
      </c>
      <c r="AW113">
        <f t="shared" si="94"/>
        <v>-268054.58739050181</v>
      </c>
      <c r="AX113">
        <f t="shared" si="95"/>
        <v>-67164.701269695855</v>
      </c>
      <c r="AY113">
        <f t="shared" si="103"/>
        <v>-2.8960836880056466</v>
      </c>
      <c r="BA113">
        <f t="shared" si="80"/>
        <v>0.43285658888273898</v>
      </c>
      <c r="BB113">
        <f t="shared" si="96"/>
        <v>-7.2731193465246129</v>
      </c>
      <c r="BC113">
        <f t="shared" si="97"/>
        <v>0.88679964345524276</v>
      </c>
      <c r="BD113">
        <f t="shared" si="81"/>
        <v>-129.19012309824964</v>
      </c>
      <c r="BF113">
        <f t="shared" si="82"/>
        <v>-4.0014884832374618</v>
      </c>
      <c r="BG113">
        <f t="shared" si="83"/>
        <v>-116.92753525193564</v>
      </c>
      <c r="BH113">
        <f t="shared" si="98"/>
        <v>63.072464748064363</v>
      </c>
      <c r="BI113">
        <f t="shared" si="99"/>
        <v>63.072464748064363</v>
      </c>
      <c r="BJ113">
        <f t="shared" si="84"/>
        <v>0</v>
      </c>
      <c r="BK113">
        <f t="shared" si="100"/>
        <v>0</v>
      </c>
      <c r="BM113">
        <f t="shared" si="101"/>
        <v>3.2716308632871502</v>
      </c>
      <c r="BN113">
        <f t="shared" si="85"/>
        <v>-167.73741215368599</v>
      </c>
      <c r="BQ113" s="56">
        <f t="shared" si="102"/>
        <v>9.6288414537605238</v>
      </c>
      <c r="BR113" s="59"/>
      <c r="BS113" s="59"/>
      <c r="BT113" s="59">
        <v>1071.519</v>
      </c>
      <c r="BU113" s="59">
        <v>14.3581</v>
      </c>
      <c r="BV113" s="59">
        <v>-260.5301</v>
      </c>
      <c r="BW113" s="61"/>
      <c r="BY113" s="59"/>
      <c r="BZ113" s="59"/>
      <c r="CA113" s="59"/>
      <c r="CC113" s="59"/>
    </row>
    <row r="114" spans="1:81" x14ac:dyDescent="0.2">
      <c r="A114">
        <f t="shared" si="106"/>
        <v>40000</v>
      </c>
      <c r="B114">
        <f t="shared" si="86"/>
        <v>40</v>
      </c>
      <c r="C114">
        <f t="shared" si="55"/>
        <v>1.0003157774824039</v>
      </c>
      <c r="D114">
        <f t="shared" si="56"/>
        <v>2.5127451466757551E-2</v>
      </c>
      <c r="F114">
        <f t="shared" si="57"/>
        <v>9.4530537510910687E-2</v>
      </c>
      <c r="G114">
        <f t="shared" si="58"/>
        <v>0.18644251105301543</v>
      </c>
      <c r="H114">
        <f t="shared" si="59"/>
        <v>-2.9551501389469848</v>
      </c>
      <c r="J114">
        <f t="shared" si="60"/>
        <v>15</v>
      </c>
      <c r="M114">
        <f t="shared" si="61"/>
        <v>1.99442284804206E-2</v>
      </c>
      <c r="N114">
        <f t="shared" si="62"/>
        <v>-1.5707963250000001</v>
      </c>
      <c r="O114">
        <f t="shared" si="63"/>
        <v>4.6330995714886321</v>
      </c>
      <c r="P114">
        <f t="shared" si="64"/>
        <v>1.3532461159433613</v>
      </c>
      <c r="Q114">
        <f t="shared" si="65"/>
        <v>4.8639476777298203</v>
      </c>
      <c r="R114">
        <f t="shared" si="66"/>
        <v>1.3637253680255712</v>
      </c>
      <c r="S114">
        <f t="shared" si="67"/>
        <v>0.99995047689888206</v>
      </c>
      <c r="T114">
        <f t="shared" si="68"/>
        <v>-9.9522369223791728E-3</v>
      </c>
      <c r="U114">
        <f t="shared" si="69"/>
        <v>0.9728052468510191</v>
      </c>
      <c r="V114">
        <f t="shared" si="70"/>
        <v>-0.23374735936666433</v>
      </c>
      <c r="X114">
        <f t="shared" si="87"/>
        <v>-4.1503465896822016</v>
      </c>
      <c r="Y114">
        <f t="shared" si="71"/>
        <v>-116.16989314768766</v>
      </c>
      <c r="Z114">
        <f t="shared" si="88"/>
        <v>63.83010685231234</v>
      </c>
      <c r="AC114">
        <v>1</v>
      </c>
      <c r="AD114">
        <f t="shared" si="72"/>
        <v>4.5238934159999999</v>
      </c>
      <c r="AE114">
        <f t="shared" si="73"/>
        <v>-1.1369784244071198E-3</v>
      </c>
      <c r="AF114">
        <f t="shared" si="74"/>
        <v>4.7752208280000003E-3</v>
      </c>
      <c r="AG114">
        <f t="shared" si="89"/>
        <v>849.3557220207274</v>
      </c>
      <c r="AH114">
        <f t="shared" si="90"/>
        <v>-411.6457021334424</v>
      </c>
      <c r="AJ114">
        <f t="shared" si="75"/>
        <v>10500</v>
      </c>
      <c r="AK114">
        <f t="shared" si="76"/>
        <v>104.50193790960002</v>
      </c>
      <c r="AL114">
        <v>1</v>
      </c>
      <c r="AM114">
        <f t="shared" si="77"/>
        <v>4.7600406523152001</v>
      </c>
      <c r="AN114">
        <f t="shared" si="91"/>
        <v>464.85076973200501</v>
      </c>
      <c r="AO114">
        <f t="shared" si="92"/>
        <v>-2108.2066232747561</v>
      </c>
      <c r="AQ114">
        <f t="shared" si="78"/>
        <v>1.562255897516013</v>
      </c>
      <c r="AR114">
        <f t="shared" si="79"/>
        <v>-124.98047180128106</v>
      </c>
      <c r="AT114">
        <f t="shared" si="104"/>
        <v>-50120.763081791381</v>
      </c>
      <c r="AU114">
        <f t="shared" si="105"/>
        <v>-106795.97479111332</v>
      </c>
      <c r="AV114">
        <f t="shared" si="93"/>
        <v>-2.0095945479937347</v>
      </c>
      <c r="AW114">
        <f t="shared" si="94"/>
        <v>-261680.74135049453</v>
      </c>
      <c r="AX114">
        <f t="shared" si="95"/>
        <v>-64901.664664183154</v>
      </c>
      <c r="AY114">
        <f t="shared" si="103"/>
        <v>-2.8984798004053012</v>
      </c>
      <c r="BA114">
        <f t="shared" si="80"/>
        <v>0.43756815567430807</v>
      </c>
      <c r="BB114">
        <f t="shared" si="96"/>
        <v>-7.1790858321283855</v>
      </c>
      <c r="BC114">
        <f t="shared" si="97"/>
        <v>0.88888525241156646</v>
      </c>
      <c r="BD114">
        <f t="shared" si="81"/>
        <v>-129.07062650720107</v>
      </c>
      <c r="BF114">
        <f t="shared" si="82"/>
        <v>-4.1430757286936322</v>
      </c>
      <c r="BG114">
        <f t="shared" si="83"/>
        <v>-116.94856056922558</v>
      </c>
      <c r="BH114">
        <f t="shared" si="98"/>
        <v>63.051439430774423</v>
      </c>
      <c r="BI114">
        <f t="shared" si="99"/>
        <v>63.051439430774423</v>
      </c>
      <c r="BJ114">
        <f t="shared" si="84"/>
        <v>0</v>
      </c>
      <c r="BK114">
        <f t="shared" si="100"/>
        <v>0</v>
      </c>
      <c r="BM114">
        <f t="shared" si="101"/>
        <v>3.0360101034347533</v>
      </c>
      <c r="BN114">
        <f t="shared" si="85"/>
        <v>-167.87793406202451</v>
      </c>
      <c r="BQ114" s="56">
        <f t="shared" si="102"/>
        <v>9.7228749681567503</v>
      </c>
      <c r="BR114" s="59"/>
      <c r="BS114" s="59"/>
      <c r="BT114" s="59">
        <v>1096.4780000000001</v>
      </c>
      <c r="BU114" s="59">
        <v>14.1501</v>
      </c>
      <c r="BV114" s="59">
        <v>-260.5471</v>
      </c>
      <c r="BW114" s="61"/>
      <c r="BY114" s="59"/>
      <c r="BZ114" s="59"/>
      <c r="CA114" s="59"/>
      <c r="CC114" s="59"/>
    </row>
    <row r="115" spans="1:81" x14ac:dyDescent="0.2">
      <c r="A115">
        <f t="shared" si="106"/>
        <v>40500</v>
      </c>
      <c r="B115">
        <f t="shared" si="86"/>
        <v>40.5</v>
      </c>
      <c r="C115">
        <f t="shared" si="55"/>
        <v>1.0003237199743269</v>
      </c>
      <c r="D115">
        <f t="shared" si="56"/>
        <v>2.544140992918649E-2</v>
      </c>
      <c r="F115">
        <f t="shared" si="57"/>
        <v>9.2035578432079171E-2</v>
      </c>
      <c r="G115">
        <f t="shared" si="58"/>
        <v>0.18376024233935853</v>
      </c>
      <c r="H115">
        <f t="shared" si="59"/>
        <v>-2.9578324076606415</v>
      </c>
      <c r="J115">
        <f t="shared" si="60"/>
        <v>15</v>
      </c>
      <c r="M115">
        <f t="shared" si="61"/>
        <v>1.9698003437452444E-2</v>
      </c>
      <c r="N115">
        <f t="shared" si="62"/>
        <v>-1.5707963250000001</v>
      </c>
      <c r="O115">
        <f t="shared" si="63"/>
        <v>4.6883312257273371</v>
      </c>
      <c r="P115">
        <f t="shared" si="64"/>
        <v>1.3558494682687667</v>
      </c>
      <c r="Q115">
        <f t="shared" si="65"/>
        <v>4.9221922958633204</v>
      </c>
      <c r="R115">
        <f t="shared" si="66"/>
        <v>1.3662106384465225</v>
      </c>
      <c r="S115">
        <f t="shared" si="67"/>
        <v>0.99994923117824097</v>
      </c>
      <c r="T115">
        <f t="shared" si="68"/>
        <v>-1.0076631514928611E-2</v>
      </c>
      <c r="U115">
        <f t="shared" si="69"/>
        <v>0.97214944624367783</v>
      </c>
      <c r="V115">
        <f t="shared" si="70"/>
        <v>-0.23656203457087108</v>
      </c>
      <c r="X115">
        <f t="shared" si="87"/>
        <v>-4.2900474404471396</v>
      </c>
      <c r="Y115">
        <f t="shared" si="71"/>
        <v>-116.18242701782289</v>
      </c>
      <c r="Z115">
        <f t="shared" si="88"/>
        <v>63.817572982177111</v>
      </c>
      <c r="AC115">
        <v>1</v>
      </c>
      <c r="AD115">
        <f t="shared" si="72"/>
        <v>4.5804420837000004</v>
      </c>
      <c r="AE115">
        <f t="shared" si="73"/>
        <v>-1.1655805378961114E-3</v>
      </c>
      <c r="AF115">
        <f t="shared" si="74"/>
        <v>4.83491108835E-3</v>
      </c>
      <c r="AG115">
        <f t="shared" si="89"/>
        <v>848.21094972169601</v>
      </c>
      <c r="AH115">
        <f t="shared" si="90"/>
        <v>-411.31225345958768</v>
      </c>
      <c r="AJ115">
        <f t="shared" si="75"/>
        <v>10500</v>
      </c>
      <c r="AK115">
        <f t="shared" si="76"/>
        <v>105.80821213347001</v>
      </c>
      <c r="AL115">
        <v>1</v>
      </c>
      <c r="AM115">
        <f t="shared" si="77"/>
        <v>4.8195411604691403</v>
      </c>
      <c r="AN115">
        <f t="shared" si="91"/>
        <v>454.43113284484616</v>
      </c>
      <c r="AO115">
        <f t="shared" si="92"/>
        <v>-2084.3413372108862</v>
      </c>
      <c r="AQ115">
        <f t="shared" si="78"/>
        <v>1.5239256324291375</v>
      </c>
      <c r="AR115">
        <f t="shared" si="79"/>
        <v>-123.43797622676013</v>
      </c>
      <c r="AT115">
        <f t="shared" si="104"/>
        <v>-49478.941756331769</v>
      </c>
      <c r="AU115">
        <f t="shared" si="105"/>
        <v>-105328.25233300359</v>
      </c>
      <c r="AV115">
        <f t="shared" si="93"/>
        <v>-2.0099601680476731</v>
      </c>
      <c r="AW115">
        <f t="shared" si="94"/>
        <v>-255527.64593181506</v>
      </c>
      <c r="AX115">
        <f t="shared" si="95"/>
        <v>-62743.531273215784</v>
      </c>
      <c r="AY115">
        <f t="shared" si="103"/>
        <v>-2.9008113235745867</v>
      </c>
      <c r="BA115">
        <f t="shared" si="80"/>
        <v>0.44227664758169399</v>
      </c>
      <c r="BB115">
        <f t="shared" si="96"/>
        <v>-7.0861198196235842</v>
      </c>
      <c r="BC115">
        <f t="shared" si="97"/>
        <v>0.89085115552691363</v>
      </c>
      <c r="BD115">
        <f t="shared" si="81"/>
        <v>-128.95798855563135</v>
      </c>
      <c r="BF115">
        <f t="shared" si="82"/>
        <v>-4.2823683746091445</v>
      </c>
      <c r="BG115">
        <f t="shared" si="83"/>
        <v>-116.97161679978383</v>
      </c>
      <c r="BH115">
        <f t="shared" si="98"/>
        <v>63.028383200216169</v>
      </c>
      <c r="BI115">
        <f t="shared" si="99"/>
        <v>63.028383200216169</v>
      </c>
      <c r="BJ115">
        <f t="shared" si="84"/>
        <v>0</v>
      </c>
      <c r="BK115">
        <f t="shared" si="100"/>
        <v>0</v>
      </c>
      <c r="BM115">
        <f t="shared" si="101"/>
        <v>2.8037514450144392</v>
      </c>
      <c r="BN115">
        <f t="shared" si="85"/>
        <v>-168.01362824415247</v>
      </c>
      <c r="BQ115" s="56">
        <f t="shared" si="102"/>
        <v>9.8158409806615516</v>
      </c>
      <c r="BR115" s="59"/>
      <c r="BS115" s="59"/>
      <c r="BT115" s="59">
        <v>1122.018</v>
      </c>
      <c r="BU115" s="59">
        <v>13.9679</v>
      </c>
      <c r="BV115" s="59">
        <v>-259.93099999999998</v>
      </c>
      <c r="BW115" s="61"/>
      <c r="BY115" s="59"/>
      <c r="BZ115" s="59"/>
      <c r="CA115" s="59"/>
      <c r="CC115" s="59"/>
    </row>
    <row r="116" spans="1:81" x14ac:dyDescent="0.2">
      <c r="A116">
        <f t="shared" si="106"/>
        <v>41000</v>
      </c>
      <c r="B116">
        <f t="shared" si="86"/>
        <v>41</v>
      </c>
      <c r="C116">
        <f t="shared" si="55"/>
        <v>1.0003317610665037</v>
      </c>
      <c r="D116">
        <f t="shared" si="56"/>
        <v>2.5755363375098064E-2</v>
      </c>
      <c r="F116">
        <f t="shared" si="57"/>
        <v>8.9640132312267376E-2</v>
      </c>
      <c r="G116">
        <f t="shared" si="58"/>
        <v>0.18115830619346068</v>
      </c>
      <c r="H116">
        <f t="shared" si="59"/>
        <v>-2.9604343438065395</v>
      </c>
      <c r="J116">
        <f t="shared" si="60"/>
        <v>15</v>
      </c>
      <c r="M116">
        <f t="shared" si="61"/>
        <v>1.945778388333717E-2</v>
      </c>
      <c r="N116">
        <f t="shared" si="62"/>
        <v>-1.5707963250000001</v>
      </c>
      <c r="O116">
        <f t="shared" si="63"/>
        <v>4.7435939148043795</v>
      </c>
      <c r="P116">
        <f t="shared" si="64"/>
        <v>1.3583921795827132</v>
      </c>
      <c r="Q116">
        <f t="shared" si="65"/>
        <v>4.9804666050642581</v>
      </c>
      <c r="R116">
        <f t="shared" si="66"/>
        <v>1.368637765395788</v>
      </c>
      <c r="S116">
        <f t="shared" si="67"/>
        <v>0.99994796998755198</v>
      </c>
      <c r="T116">
        <f t="shared" si="68"/>
        <v>-1.0201025795616391E-2</v>
      </c>
      <c r="U116">
        <f t="shared" si="69"/>
        <v>0.97148684831435739</v>
      </c>
      <c r="V116">
        <f t="shared" si="70"/>
        <v>-0.23937289516422725</v>
      </c>
      <c r="X116">
        <f t="shared" si="87"/>
        <v>-4.4275390831772512</v>
      </c>
      <c r="Y116">
        <f t="shared" si="71"/>
        <v>-116.19694572888086</v>
      </c>
      <c r="Z116">
        <f t="shared" si="88"/>
        <v>63.803054271119137</v>
      </c>
      <c r="AC116">
        <v>1</v>
      </c>
      <c r="AD116">
        <f t="shared" si="72"/>
        <v>4.6369907513999999</v>
      </c>
      <c r="AE116">
        <f t="shared" si="73"/>
        <v>-1.1945379571427302E-3</v>
      </c>
      <c r="AF116">
        <f t="shared" si="74"/>
        <v>4.8946013487000005E-3</v>
      </c>
      <c r="AG116">
        <f t="shared" si="89"/>
        <v>847.05509598081767</v>
      </c>
      <c r="AH116">
        <f t="shared" si="90"/>
        <v>-411.03234372184511</v>
      </c>
      <c r="AJ116">
        <f t="shared" si="75"/>
        <v>10500</v>
      </c>
      <c r="AK116">
        <f t="shared" si="76"/>
        <v>107.11448635734003</v>
      </c>
      <c r="AL116">
        <v>1</v>
      </c>
      <c r="AM116">
        <f t="shared" si="77"/>
        <v>4.8790416686230804</v>
      </c>
      <c r="AN116">
        <f t="shared" si="91"/>
        <v>444.36988060453916</v>
      </c>
      <c r="AO116">
        <f t="shared" si="92"/>
        <v>-2060.9846773932695</v>
      </c>
      <c r="AQ116">
        <f t="shared" si="78"/>
        <v>1.486988847583643</v>
      </c>
      <c r="AR116">
        <f t="shared" si="79"/>
        <v>-121.93308550185874</v>
      </c>
      <c r="AT116">
        <f t="shared" si="104"/>
        <v>-48858.880430052763</v>
      </c>
      <c r="AU116">
        <f t="shared" si="105"/>
        <v>-103895.24195412475</v>
      </c>
      <c r="AV116">
        <f t="shared" si="93"/>
        <v>-2.0103788517230554</v>
      </c>
      <c r="AW116">
        <f t="shared" si="94"/>
        <v>-249585.38564859657</v>
      </c>
      <c r="AX116">
        <f t="shared" si="95"/>
        <v>-60684.277881258029</v>
      </c>
      <c r="AY116">
        <f t="shared" si="103"/>
        <v>-2.9030804793211549</v>
      </c>
      <c r="BA116">
        <f t="shared" si="80"/>
        <v>0.44698174908416605</v>
      </c>
      <c r="BB116">
        <f t="shared" si="96"/>
        <v>-6.9942041876456003</v>
      </c>
      <c r="BC116">
        <f t="shared" si="97"/>
        <v>0.89270162759809946</v>
      </c>
      <c r="BD116">
        <f t="shared" si="81"/>
        <v>-128.85196431572442</v>
      </c>
      <c r="BF116">
        <f t="shared" si="82"/>
        <v>-4.4194480664488038</v>
      </c>
      <c r="BG116">
        <f t="shared" si="83"/>
        <v>-116.99668431233485</v>
      </c>
      <c r="BH116">
        <f t="shared" si="98"/>
        <v>63.00331568766515</v>
      </c>
      <c r="BI116">
        <f t="shared" si="99"/>
        <v>63.00331568766515</v>
      </c>
      <c r="BJ116">
        <f t="shared" si="84"/>
        <v>0</v>
      </c>
      <c r="BK116">
        <f t="shared" si="100"/>
        <v>0</v>
      </c>
      <c r="BM116">
        <f t="shared" si="101"/>
        <v>2.5747561211967973</v>
      </c>
      <c r="BN116">
        <f t="shared" si="85"/>
        <v>-168.14471999661043</v>
      </c>
      <c r="BQ116" s="56">
        <f t="shared" si="102"/>
        <v>9.9077566126395364</v>
      </c>
      <c r="BR116" s="59"/>
      <c r="BS116" s="59"/>
      <c r="BT116" s="59">
        <v>1148.154</v>
      </c>
      <c r="BU116" s="59">
        <v>13.7508</v>
      </c>
      <c r="BV116" s="59">
        <v>-259.94799999999998</v>
      </c>
      <c r="BW116" s="61"/>
      <c r="BY116" s="59"/>
      <c r="BZ116" s="59"/>
      <c r="CA116" s="59"/>
      <c r="CC116" s="59"/>
    </row>
    <row r="117" spans="1:81" x14ac:dyDescent="0.2">
      <c r="A117">
        <f t="shared" si="106"/>
        <v>41500</v>
      </c>
      <c r="B117">
        <f t="shared" si="86"/>
        <v>41.5</v>
      </c>
      <c r="C117">
        <f t="shared" si="55"/>
        <v>1.0003399007565565</v>
      </c>
      <c r="D117">
        <f t="shared" si="56"/>
        <v>2.6069311742723245E-2</v>
      </c>
      <c r="F117">
        <f t="shared" si="57"/>
        <v>8.7338883762152528E-2</v>
      </c>
      <c r="G117">
        <f t="shared" si="58"/>
        <v>0.17863301660049669</v>
      </c>
      <c r="H117">
        <f t="shared" si="59"/>
        <v>-2.9629596333995036</v>
      </c>
      <c r="J117">
        <f t="shared" si="60"/>
        <v>15</v>
      </c>
      <c r="M117">
        <f t="shared" si="61"/>
        <v>1.9223352752212628E-2</v>
      </c>
      <c r="N117">
        <f t="shared" si="62"/>
        <v>-1.5707963250000001</v>
      </c>
      <c r="O117">
        <f t="shared" si="63"/>
        <v>4.7988865665532829</v>
      </c>
      <c r="P117">
        <f t="shared" si="64"/>
        <v>1.3608763125374734</v>
      </c>
      <c r="Q117">
        <f t="shared" si="65"/>
        <v>5.0387695751845518</v>
      </c>
      <c r="R117">
        <f t="shared" si="66"/>
        <v>1.371008738081881</v>
      </c>
      <c r="S117">
        <f t="shared" si="67"/>
        <v>0.99994669332699071</v>
      </c>
      <c r="T117">
        <f t="shared" si="68"/>
        <v>-1.0325419760593958E-2</v>
      </c>
      <c r="U117">
        <f t="shared" si="69"/>
        <v>0.97081749833042352</v>
      </c>
      <c r="V117">
        <f t="shared" si="70"/>
        <v>-0.24217990457013877</v>
      </c>
      <c r="X117">
        <f t="shared" si="87"/>
        <v>-4.5628989902273611</v>
      </c>
      <c r="Y117">
        <f t="shared" si="71"/>
        <v>-116.21342622706624</v>
      </c>
      <c r="Z117">
        <f t="shared" si="88"/>
        <v>63.786573772933764</v>
      </c>
      <c r="AC117">
        <v>1</v>
      </c>
      <c r="AD117">
        <f t="shared" si="72"/>
        <v>4.6935394191000004</v>
      </c>
      <c r="AE117">
        <f t="shared" si="73"/>
        <v>-1.2238506821469763E-3</v>
      </c>
      <c r="AF117">
        <f t="shared" si="74"/>
        <v>4.9542916090500001E-3</v>
      </c>
      <c r="AG117">
        <f t="shared" si="89"/>
        <v>845.88826393604302</v>
      </c>
      <c r="AH117">
        <f t="shared" si="90"/>
        <v>-410.8036202633844</v>
      </c>
      <c r="AJ117">
        <f t="shared" si="75"/>
        <v>10500</v>
      </c>
      <c r="AK117">
        <f t="shared" si="76"/>
        <v>108.42076058121002</v>
      </c>
      <c r="AL117">
        <v>1</v>
      </c>
      <c r="AM117">
        <f t="shared" si="77"/>
        <v>4.9385421767770206</v>
      </c>
      <c r="AN117">
        <f t="shared" si="91"/>
        <v>434.65099360064295</v>
      </c>
      <c r="AO117">
        <f t="shared" si="92"/>
        <v>-2038.1215034936042</v>
      </c>
      <c r="AQ117">
        <f t="shared" si="78"/>
        <v>1.4513788098693758</v>
      </c>
      <c r="AR117">
        <f t="shared" si="79"/>
        <v>-120.4644412191582</v>
      </c>
      <c r="AT117">
        <f t="shared" si="104"/>
        <v>-48259.524264041895</v>
      </c>
      <c r="AU117">
        <f t="shared" si="105"/>
        <v>-102495.68871836714</v>
      </c>
      <c r="AV117">
        <f t="shared" si="93"/>
        <v>-2.0108486357682729</v>
      </c>
      <c r="AW117">
        <f t="shared" si="94"/>
        <v>-243844.58631465872</v>
      </c>
      <c r="AX117">
        <f t="shared" si="95"/>
        <v>-58718.290186321654</v>
      </c>
      <c r="AY117">
        <f t="shared" si="103"/>
        <v>-2.9052893890572022</v>
      </c>
      <c r="BA117">
        <f t="shared" si="80"/>
        <v>0.45168315659077884</v>
      </c>
      <c r="BB117">
        <f t="shared" si="96"/>
        <v>-6.903322082332835</v>
      </c>
      <c r="BC117">
        <f t="shared" si="97"/>
        <v>0.89444075328892936</v>
      </c>
      <c r="BD117">
        <f t="shared" si="81"/>
        <v>-128.75231975348322</v>
      </c>
      <c r="BF117">
        <f t="shared" si="82"/>
        <v>-4.554392320316861</v>
      </c>
      <c r="BG117">
        <f t="shared" si="83"/>
        <v>-117.02374026951365</v>
      </c>
      <c r="BH117">
        <f t="shared" si="98"/>
        <v>62.976259730486348</v>
      </c>
      <c r="BI117">
        <f t="shared" si="99"/>
        <v>62.976259730486348</v>
      </c>
      <c r="BJ117">
        <f t="shared" si="84"/>
        <v>0</v>
      </c>
      <c r="BK117">
        <f t="shared" si="100"/>
        <v>0</v>
      </c>
      <c r="BM117">
        <f t="shared" si="101"/>
        <v>2.3489297620159744</v>
      </c>
      <c r="BN117">
        <f t="shared" si="85"/>
        <v>-168.27142051603045</v>
      </c>
      <c r="BQ117" s="56">
        <f t="shared" si="102"/>
        <v>9.9986387179523035</v>
      </c>
      <c r="BR117" s="59"/>
      <c r="BS117" s="59"/>
      <c r="BT117" s="59">
        <v>1174.8979999999999</v>
      </c>
      <c r="BU117" s="59">
        <v>13.6038</v>
      </c>
      <c r="BV117" s="59">
        <v>-260.19870000000003</v>
      </c>
      <c r="BW117" s="61"/>
      <c r="BY117" s="59"/>
      <c r="BZ117" s="59"/>
      <c r="CA117" s="59"/>
      <c r="CC117" s="59"/>
    </row>
    <row r="118" spans="1:81" x14ac:dyDescent="0.2">
      <c r="A118">
        <f t="shared" si="106"/>
        <v>42000</v>
      </c>
      <c r="B118">
        <f t="shared" si="86"/>
        <v>42</v>
      </c>
      <c r="C118">
        <f t="shared" si="55"/>
        <v>1.0003481390420783</v>
      </c>
      <c r="D118">
        <f t="shared" si="56"/>
        <v>2.638325497029901E-2</v>
      </c>
      <c r="F118">
        <f t="shared" si="57"/>
        <v>8.5126872718867583E-2</v>
      </c>
      <c r="G118">
        <f t="shared" si="58"/>
        <v>0.17618091446748543</v>
      </c>
      <c r="H118">
        <f t="shared" si="59"/>
        <v>-2.9654117355325149</v>
      </c>
      <c r="J118">
        <f t="shared" si="60"/>
        <v>15</v>
      </c>
      <c r="M118">
        <f t="shared" si="61"/>
        <v>1.8994503314686287E-2</v>
      </c>
      <c r="N118">
        <f t="shared" si="62"/>
        <v>-1.5707963250000001</v>
      </c>
      <c r="O118">
        <f t="shared" si="63"/>
        <v>4.8542081570900191</v>
      </c>
      <c r="P118">
        <f t="shared" si="64"/>
        <v>1.3633038387251399</v>
      </c>
      <c r="Q118">
        <f t="shared" si="65"/>
        <v>5.0971002227140749</v>
      </c>
      <c r="R118">
        <f t="shared" si="66"/>
        <v>1.3733254572492715</v>
      </c>
      <c r="S118">
        <f t="shared" si="67"/>
        <v>0.99994540119673514</v>
      </c>
      <c r="T118">
        <f t="shared" si="68"/>
        <v>-1.0449813406012823E-2</v>
      </c>
      <c r="U118">
        <f t="shared" si="69"/>
        <v>0.97014144184934514</v>
      </c>
      <c r="V118">
        <f t="shared" si="70"/>
        <v>-0.24498302655492157</v>
      </c>
      <c r="X118">
        <f t="shared" si="87"/>
        <v>-4.6962007695263566</v>
      </c>
      <c r="Y118">
        <f t="shared" si="71"/>
        <v>-116.23184276254689</v>
      </c>
      <c r="Z118">
        <f t="shared" si="88"/>
        <v>63.76815723745311</v>
      </c>
      <c r="AC118">
        <v>1</v>
      </c>
      <c r="AD118">
        <f t="shared" si="72"/>
        <v>4.7500880867999999</v>
      </c>
      <c r="AE118">
        <f t="shared" si="73"/>
        <v>-1.2535187129088497E-3</v>
      </c>
      <c r="AF118">
        <f t="shared" si="74"/>
        <v>5.0139818693999997E-3</v>
      </c>
      <c r="AG118">
        <f t="shared" si="89"/>
        <v>844.71055725956387</v>
      </c>
      <c r="AH118">
        <f t="shared" si="90"/>
        <v>-410.62384032172423</v>
      </c>
      <c r="AJ118">
        <f t="shared" si="75"/>
        <v>10500</v>
      </c>
      <c r="AK118">
        <f t="shared" si="76"/>
        <v>109.72703480508001</v>
      </c>
      <c r="AL118">
        <v>1</v>
      </c>
      <c r="AM118">
        <f t="shared" si="77"/>
        <v>4.9980426849309607</v>
      </c>
      <c r="AN118">
        <f t="shared" si="91"/>
        <v>425.25932458791868</v>
      </c>
      <c r="AO118">
        <f t="shared" si="92"/>
        <v>-2015.7372216502481</v>
      </c>
      <c r="AQ118">
        <f t="shared" si="78"/>
        <v>1.4170327334561428</v>
      </c>
      <c r="AR118">
        <f t="shared" si="79"/>
        <v>-119.03074961031599</v>
      </c>
      <c r="AT118">
        <f t="shared" si="104"/>
        <v>-47679.881011428755</v>
      </c>
      <c r="AU118">
        <f t="shared" si="105"/>
        <v>-101128.39825722699</v>
      </c>
      <c r="AV118">
        <f t="shared" si="93"/>
        <v>-2.0113676418612654</v>
      </c>
      <c r="AW118">
        <f t="shared" si="94"/>
        <v>-238296.38060443921</v>
      </c>
      <c r="AX118">
        <f t="shared" si="95"/>
        <v>-56840.330935964928</v>
      </c>
      <c r="AY118">
        <f t="shared" si="103"/>
        <v>-2.907440079329271</v>
      </c>
      <c r="BA118">
        <f t="shared" si="80"/>
        <v>0.45638057779123203</v>
      </c>
      <c r="BB118">
        <f t="shared" si="96"/>
        <v>-6.8134569230070117</v>
      </c>
      <c r="BC118">
        <f t="shared" si="97"/>
        <v>0.89607243746800558</v>
      </c>
      <c r="BD118">
        <f t="shared" si="81"/>
        <v>-128.65883113641706</v>
      </c>
      <c r="BF118">
        <f t="shared" si="82"/>
        <v>-4.6872747881310843</v>
      </c>
      <c r="BG118">
        <f t="shared" si="83"/>
        <v>-117.05275913379724</v>
      </c>
      <c r="BH118">
        <f t="shared" si="98"/>
        <v>62.947240866202762</v>
      </c>
      <c r="BI118">
        <f t="shared" si="99"/>
        <v>62.947240866202762</v>
      </c>
      <c r="BJ118">
        <f t="shared" si="84"/>
        <v>0</v>
      </c>
      <c r="BK118">
        <f t="shared" si="100"/>
        <v>0</v>
      </c>
      <c r="BM118">
        <f t="shared" si="101"/>
        <v>2.1261821348759273</v>
      </c>
      <c r="BN118">
        <f t="shared" si="85"/>
        <v>-168.39392799738019</v>
      </c>
      <c r="BQ118" s="56">
        <f t="shared" si="102"/>
        <v>10.088503877278125</v>
      </c>
      <c r="BR118" s="59"/>
      <c r="BS118" s="59"/>
      <c r="BT118" s="59">
        <v>1202.2639999999999</v>
      </c>
      <c r="BU118" s="59">
        <v>13.412800000000001</v>
      </c>
      <c r="BV118" s="59">
        <v>-259.34100000000001</v>
      </c>
      <c r="BW118" s="61"/>
      <c r="BY118" s="59"/>
      <c r="BZ118" s="59"/>
      <c r="CA118" s="59"/>
      <c r="CC118" s="59"/>
    </row>
    <row r="119" spans="1:81" x14ac:dyDescent="0.2">
      <c r="A119">
        <f t="shared" si="106"/>
        <v>42500</v>
      </c>
      <c r="B119">
        <f t="shared" si="86"/>
        <v>42.5</v>
      </c>
      <c r="C119">
        <f t="shared" si="55"/>
        <v>1.0003564759206336</v>
      </c>
      <c r="D119">
        <f t="shared" si="56"/>
        <v>2.6697192996068417E-2</v>
      </c>
      <c r="F119">
        <f t="shared" si="57"/>
        <v>8.2999465994028104E-2</v>
      </c>
      <c r="G119">
        <f t="shared" si="58"/>
        <v>0.17379875022793459</v>
      </c>
      <c r="H119">
        <f t="shared" si="59"/>
        <v>-2.9677938997720656</v>
      </c>
      <c r="J119">
        <f t="shared" si="60"/>
        <v>15</v>
      </c>
      <c r="M119">
        <f t="shared" si="61"/>
        <v>1.8771038569807625E-2</v>
      </c>
      <c r="N119">
        <f t="shared" si="62"/>
        <v>-1.5707963250000001</v>
      </c>
      <c r="O119">
        <f t="shared" si="63"/>
        <v>4.9095577081556225</v>
      </c>
      <c r="P119">
        <f t="shared" si="64"/>
        <v>1.365676643567129</v>
      </c>
      <c r="Q119">
        <f t="shared" si="65"/>
        <v>5.155457608197298</v>
      </c>
      <c r="R119">
        <f t="shared" si="66"/>
        <v>1.3755897399715242</v>
      </c>
      <c r="S119">
        <f t="shared" si="67"/>
        <v>0.99994409359696534</v>
      </c>
      <c r="T119">
        <f t="shared" si="68"/>
        <v>-1.0574206728024553E-2</v>
      </c>
      <c r="U119">
        <f t="shared" si="69"/>
        <v>0.96945872471082883</v>
      </c>
      <c r="V119">
        <f t="shared" si="70"/>
        <v>-0.24778222522953844</v>
      </c>
      <c r="X119">
        <f t="shared" si="87"/>
        <v>-4.8275144094419966</v>
      </c>
      <c r="Y119">
        <f t="shared" si="71"/>
        <v>-116.2521673314595</v>
      </c>
      <c r="Z119">
        <f t="shared" si="88"/>
        <v>63.747832668540497</v>
      </c>
      <c r="AC119">
        <v>1</v>
      </c>
      <c r="AD119">
        <f t="shared" si="72"/>
        <v>4.8066367545000004</v>
      </c>
      <c r="AE119">
        <f t="shared" si="73"/>
        <v>-1.2835420494283502E-3</v>
      </c>
      <c r="AF119">
        <f t="shared" si="74"/>
        <v>5.0736721297500002E-3</v>
      </c>
      <c r="AG119">
        <f t="shared" si="89"/>
        <v>843.52208013688301</v>
      </c>
      <c r="AH119">
        <f t="shared" si="90"/>
        <v>-410.49086464709779</v>
      </c>
      <c r="AJ119">
        <f t="shared" si="75"/>
        <v>10500</v>
      </c>
      <c r="AK119">
        <f t="shared" si="76"/>
        <v>111.03330902895001</v>
      </c>
      <c r="AL119">
        <v>1</v>
      </c>
      <c r="AM119">
        <f t="shared" si="77"/>
        <v>5.0575431930849</v>
      </c>
      <c r="AN119">
        <f t="shared" si="91"/>
        <v>416.18054299601454</v>
      </c>
      <c r="AO119">
        <f t="shared" si="92"/>
        <v>-1993.8177632949207</v>
      </c>
      <c r="AQ119">
        <f t="shared" si="78"/>
        <v>1.3838915029061722</v>
      </c>
      <c r="AR119">
        <f t="shared" si="79"/>
        <v>-117.63077774702464</v>
      </c>
      <c r="AT119">
        <f t="shared" si="104"/>
        <v>-47119.016627271565</v>
      </c>
      <c r="AU119">
        <f t="shared" si="105"/>
        <v>-99792.233152895322</v>
      </c>
      <c r="AV119">
        <f t="shared" si="93"/>
        <v>-2.0119340721024441</v>
      </c>
      <c r="AW119">
        <f t="shared" si="94"/>
        <v>-232932.37609208623</v>
      </c>
      <c r="AX119">
        <f t="shared" si="95"/>
        <v>-55045.510853735534</v>
      </c>
      <c r="AY119">
        <f t="shared" si="103"/>
        <v>-2.9095344869918525</v>
      </c>
      <c r="BA119">
        <f t="shared" si="80"/>
        <v>0.46107373105265725</v>
      </c>
      <c r="BB119">
        <f t="shared" si="96"/>
        <v>-6.7245924063539722</v>
      </c>
      <c r="BC119">
        <f t="shared" si="97"/>
        <v>0.89760041488940834</v>
      </c>
      <c r="BD119">
        <f t="shared" si="81"/>
        <v>-128.57128447887936</v>
      </c>
      <c r="BF119">
        <f t="shared" si="82"/>
        <v>-4.8181655024789407</v>
      </c>
      <c r="BG119">
        <f t="shared" si="83"/>
        <v>-117.08371310952295</v>
      </c>
      <c r="BH119">
        <f t="shared" si="98"/>
        <v>62.916286890477053</v>
      </c>
      <c r="BI119">
        <f t="shared" si="99"/>
        <v>62.916286890477053</v>
      </c>
      <c r="BJ119">
        <f t="shared" si="84"/>
        <v>0</v>
      </c>
      <c r="BK119">
        <f t="shared" si="100"/>
        <v>0</v>
      </c>
      <c r="BM119">
        <f t="shared" si="101"/>
        <v>1.9064269038750312</v>
      </c>
      <c r="BN119">
        <f t="shared" si="85"/>
        <v>-168.5124286306436</v>
      </c>
      <c r="BQ119" s="56">
        <f t="shared" si="102"/>
        <v>10.177368393931165</v>
      </c>
      <c r="BR119" s="59"/>
      <c r="BS119" s="59"/>
      <c r="BT119" s="59">
        <v>1230.269</v>
      </c>
      <c r="BU119" s="59">
        <v>13.1837</v>
      </c>
      <c r="BV119" s="59">
        <v>-259.55099999999999</v>
      </c>
      <c r="BW119" s="61"/>
      <c r="BY119" s="59"/>
      <c r="BZ119" s="59"/>
      <c r="CA119" s="59"/>
      <c r="CC119" s="59"/>
    </row>
    <row r="120" spans="1:81" x14ac:dyDescent="0.2">
      <c r="A120">
        <f t="shared" si="106"/>
        <v>43000</v>
      </c>
      <c r="B120">
        <f t="shared" si="86"/>
        <v>43</v>
      </c>
      <c r="C120">
        <f t="shared" si="55"/>
        <v>1.000364911389757</v>
      </c>
      <c r="D120">
        <f t="shared" si="56"/>
        <v>2.7011125758280668E-2</v>
      </c>
      <c r="F120">
        <f t="shared" si="57"/>
        <v>8.0952331467552416E-2</v>
      </c>
      <c r="G120">
        <f t="shared" si="58"/>
        <v>0.1714834680305708</v>
      </c>
      <c r="H120">
        <f t="shared" si="59"/>
        <v>-2.9701091819694296</v>
      </c>
      <c r="J120">
        <f t="shared" si="60"/>
        <v>15</v>
      </c>
      <c r="M120">
        <f t="shared" si="61"/>
        <v>1.8552770679461025E-2</v>
      </c>
      <c r="N120">
        <f t="shared" si="62"/>
        <v>-1.5707963250000001</v>
      </c>
      <c r="O120">
        <f t="shared" si="63"/>
        <v>4.964934284630421</v>
      </c>
      <c r="P120">
        <f t="shared" si="64"/>
        <v>1.3679965308973834</v>
      </c>
      <c r="Q120">
        <f t="shared" si="65"/>
        <v>5.2138408338180104</v>
      </c>
      <c r="R120">
        <f t="shared" si="66"/>
        <v>1.3778033241408636</v>
      </c>
      <c r="S120">
        <f t="shared" si="67"/>
        <v>0.99994277052786296</v>
      </c>
      <c r="T120">
        <f t="shared" si="68"/>
        <v>-1.0698599722780772E-2</v>
      </c>
      <c r="U120">
        <f t="shared" si="69"/>
        <v>0.96876939302895559</v>
      </c>
      <c r="V120">
        <f t="shared" si="70"/>
        <v>-0.25057746505126677</v>
      </c>
      <c r="X120">
        <f t="shared" si="87"/>
        <v>-4.9569065051122907</v>
      </c>
      <c r="Y120">
        <f t="shared" si="71"/>
        <v>-116.27437006209284</v>
      </c>
      <c r="Z120">
        <f t="shared" si="88"/>
        <v>63.725629937907158</v>
      </c>
      <c r="AC120">
        <v>1</v>
      </c>
      <c r="AD120">
        <f t="shared" si="72"/>
        <v>4.8631854222000008</v>
      </c>
      <c r="AE120">
        <f t="shared" si="73"/>
        <v>-1.3139206917054779E-3</v>
      </c>
      <c r="AF120">
        <f t="shared" si="74"/>
        <v>5.1333623900999999E-3</v>
      </c>
      <c r="AG120">
        <f t="shared" si="89"/>
        <v>842.32293724592796</v>
      </c>
      <c r="AH120">
        <f t="shared" si="90"/>
        <v>-410.40265156587145</v>
      </c>
      <c r="AJ120">
        <f t="shared" si="75"/>
        <v>10500</v>
      </c>
      <c r="AK120">
        <f t="shared" si="76"/>
        <v>112.33958325282001</v>
      </c>
      <c r="AL120">
        <v>1</v>
      </c>
      <c r="AM120">
        <f t="shared" si="77"/>
        <v>5.1170437012388401</v>
      </c>
      <c r="AN120">
        <f t="shared" si="91"/>
        <v>407.40108344621552</v>
      </c>
      <c r="AO120">
        <f t="shared" si="92"/>
        <v>-1972.3495646735162</v>
      </c>
      <c r="AQ120">
        <f t="shared" si="78"/>
        <v>1.35189941868325</v>
      </c>
      <c r="AR120">
        <f t="shared" si="79"/>
        <v>-116.2633500067595</v>
      </c>
      <c r="AT120">
        <f t="shared" si="104"/>
        <v>-46576.051233498743</v>
      </c>
      <c r="AU120">
        <f t="shared" si="105"/>
        <v>-98486.109577823008</v>
      </c>
      <c r="AV120">
        <f t="shared" si="93"/>
        <v>-2.0125462047872924</v>
      </c>
      <c r="AW120">
        <f t="shared" si="94"/>
        <v>-227744.62557169833</v>
      </c>
      <c r="AX120">
        <f t="shared" si="95"/>
        <v>-53329.262085746392</v>
      </c>
      <c r="AY120">
        <f t="shared" si="103"/>
        <v>-2.9115744640508781</v>
      </c>
      <c r="BA120">
        <f t="shared" si="80"/>
        <v>0.46576234485857976</v>
      </c>
      <c r="BB120">
        <f t="shared" si="96"/>
        <v>-6.6367125092930852</v>
      </c>
      <c r="BC120">
        <f t="shared" si="97"/>
        <v>0.89902825926358565</v>
      </c>
      <c r="BD120">
        <f t="shared" si="81"/>
        <v>-128.48947502234404</v>
      </c>
      <c r="BF120">
        <f t="shared" si="82"/>
        <v>-4.9471311029403759</v>
      </c>
      <c r="BG120">
        <f t="shared" si="83"/>
        <v>-117.11657252908374</v>
      </c>
      <c r="BH120">
        <f t="shared" si="98"/>
        <v>62.88342747091626</v>
      </c>
      <c r="BI120">
        <f t="shared" si="99"/>
        <v>62.88342747091626</v>
      </c>
      <c r="BJ120">
        <f t="shared" si="84"/>
        <v>0</v>
      </c>
      <c r="BK120">
        <f t="shared" si="100"/>
        <v>0</v>
      </c>
      <c r="BM120">
        <f t="shared" si="101"/>
        <v>1.6895814063527104</v>
      </c>
      <c r="BN120">
        <f t="shared" si="85"/>
        <v>-168.62709750673972</v>
      </c>
      <c r="BQ120" s="56">
        <f t="shared" si="102"/>
        <v>10.265248290992051</v>
      </c>
      <c r="BR120" s="59"/>
      <c r="BS120" s="59"/>
      <c r="BT120" s="59">
        <v>1258.925</v>
      </c>
      <c r="BU120" s="59">
        <v>13.0792</v>
      </c>
      <c r="BV120" s="59">
        <v>-259.27199999999999</v>
      </c>
      <c r="BW120" s="61"/>
      <c r="BY120" s="59"/>
      <c r="BZ120" s="59"/>
      <c r="CA120" s="59"/>
      <c r="CC120" s="59"/>
    </row>
    <row r="121" spans="1:81" x14ac:dyDescent="0.2">
      <c r="A121">
        <f t="shared" si="106"/>
        <v>43500</v>
      </c>
      <c r="B121">
        <f t="shared" si="86"/>
        <v>43.5</v>
      </c>
      <c r="C121">
        <f t="shared" si="55"/>
        <v>1.0003734454469548</v>
      </c>
      <c r="D121">
        <f t="shared" si="56"/>
        <v>2.7325053195191178E-2</v>
      </c>
      <c r="F121">
        <f t="shared" si="57"/>
        <v>7.8981414648055998E-2</v>
      </c>
      <c r="G121">
        <f t="shared" si="58"/>
        <v>0.16923219134616502</v>
      </c>
      <c r="H121">
        <f t="shared" si="59"/>
        <v>-2.972360458653835</v>
      </c>
      <c r="J121">
        <f t="shared" si="60"/>
        <v>15</v>
      </c>
      <c r="M121">
        <f t="shared" si="61"/>
        <v>1.833952044176607E-2</v>
      </c>
      <c r="N121">
        <f t="shared" si="62"/>
        <v>-1.5707963250000001</v>
      </c>
      <c r="O121">
        <f t="shared" si="63"/>
        <v>5.0203369922072136</v>
      </c>
      <c r="P121">
        <f t="shared" si="64"/>
        <v>1.3702652272610121</v>
      </c>
      <c r="Q121">
        <f t="shared" si="65"/>
        <v>5.2722490411396468</v>
      </c>
      <c r="R121">
        <f t="shared" si="66"/>
        <v>1.3799678726760003</v>
      </c>
      <c r="S121">
        <f t="shared" si="67"/>
        <v>0.99994143198961238</v>
      </c>
      <c r="T121">
        <f t="shared" si="68"/>
        <v>-1.0822992386433168E-2</v>
      </c>
      <c r="U121">
        <f t="shared" si="69"/>
        <v>0.96807349318432101</v>
      </c>
      <c r="V121">
        <f t="shared" si="70"/>
        <v>-0.25336871082529655</v>
      </c>
      <c r="X121">
        <f t="shared" si="87"/>
        <v>-5.0844404678531641</v>
      </c>
      <c r="Y121">
        <f t="shared" si="71"/>
        <v>-116.29841955226279</v>
      </c>
      <c r="Z121">
        <f t="shared" si="88"/>
        <v>63.701580447737214</v>
      </c>
      <c r="AC121">
        <v>1</v>
      </c>
      <c r="AD121">
        <f t="shared" si="72"/>
        <v>4.9197340899000004</v>
      </c>
      <c r="AE121">
        <f t="shared" si="73"/>
        <v>-1.3446546397402324E-3</v>
      </c>
      <c r="AF121">
        <f t="shared" si="74"/>
        <v>5.1930526504499995E-3</v>
      </c>
      <c r="AG121">
        <f t="shared" si="89"/>
        <v>841.11323373621713</v>
      </c>
      <c r="AH121">
        <f t="shared" si="90"/>
        <v>-410.35725145318031</v>
      </c>
      <c r="AJ121">
        <f t="shared" si="75"/>
        <v>10500</v>
      </c>
      <c r="AK121">
        <f t="shared" si="76"/>
        <v>113.64585747669003</v>
      </c>
      <c r="AL121">
        <v>1</v>
      </c>
      <c r="AM121">
        <f t="shared" si="77"/>
        <v>5.1765442093927811</v>
      </c>
      <c r="AN121">
        <f t="shared" si="91"/>
        <v>398.9080979540538</v>
      </c>
      <c r="AO121">
        <f t="shared" si="92"/>
        <v>-1951.3195470672554</v>
      </c>
      <c r="AQ121">
        <f t="shared" si="78"/>
        <v>1.321003963011889</v>
      </c>
      <c r="AR121">
        <f t="shared" si="79"/>
        <v>-114.92734478203434</v>
      </c>
      <c r="AT121">
        <f t="shared" si="104"/>
        <v>-46050.155406460333</v>
      </c>
      <c r="AU121">
        <f t="shared" si="105"/>
        <v>-97208.994169754384</v>
      </c>
      <c r="AV121">
        <f t="shared" si="93"/>
        <v>-2.013202390439047</v>
      </c>
      <c r="AW121">
        <f t="shared" si="94"/>
        <v>-222725.59947866027</v>
      </c>
      <c r="AX121">
        <f t="shared" si="95"/>
        <v>-51687.313925682545</v>
      </c>
      <c r="AY121">
        <f t="shared" si="103"/>
        <v>-2.9135617822010595</v>
      </c>
      <c r="BA121">
        <f t="shared" si="80"/>
        <v>0.47044615728664485</v>
      </c>
      <c r="BB121">
        <f t="shared" si="96"/>
        <v>-6.5498014907017401</v>
      </c>
      <c r="BC121">
        <f t="shared" si="97"/>
        <v>0.90035939176201252</v>
      </c>
      <c r="BD121">
        <f t="shared" si="81"/>
        <v>-128.41320674812431</v>
      </c>
      <c r="BF121">
        <f t="shared" si="82"/>
        <v>-5.0742350454869047</v>
      </c>
      <c r="BG121">
        <f t="shared" si="83"/>
        <v>-117.15130619031515</v>
      </c>
      <c r="BH121">
        <f t="shared" si="98"/>
        <v>62.848693809684846</v>
      </c>
      <c r="BI121">
        <f t="shared" si="99"/>
        <v>62.848693809684846</v>
      </c>
      <c r="BJ121">
        <f t="shared" si="84"/>
        <v>0</v>
      </c>
      <c r="BK121">
        <f t="shared" si="100"/>
        <v>0</v>
      </c>
      <c r="BM121">
        <f t="shared" si="101"/>
        <v>1.4755664452148354</v>
      </c>
      <c r="BN121">
        <f t="shared" si="85"/>
        <v>-168.73809944219084</v>
      </c>
      <c r="BQ121" s="56">
        <f t="shared" si="102"/>
        <v>10.352159309583396</v>
      </c>
      <c r="BR121" s="59"/>
      <c r="BS121" s="59"/>
      <c r="BT121" s="59">
        <v>1288.25</v>
      </c>
      <c r="BU121" s="59">
        <v>12.807</v>
      </c>
      <c r="BV121" s="59">
        <v>-258.86099999999999</v>
      </c>
      <c r="BW121" s="61"/>
      <c r="BY121" s="59"/>
      <c r="BZ121" s="59"/>
      <c r="CA121" s="59"/>
      <c r="CC121" s="59"/>
    </row>
    <row r="122" spans="1:81" x14ac:dyDescent="0.2">
      <c r="A122">
        <f t="shared" si="106"/>
        <v>44000</v>
      </c>
      <c r="B122">
        <f t="shared" si="86"/>
        <v>44</v>
      </c>
      <c r="C122">
        <f t="shared" si="55"/>
        <v>1.0003820780897035</v>
      </c>
      <c r="D122">
        <f t="shared" si="56"/>
        <v>2.7638975245061665E-2</v>
      </c>
      <c r="F122">
        <f t="shared" si="57"/>
        <v>7.7082917353449937E-2</v>
      </c>
      <c r="G122">
        <f t="shared" si="58"/>
        <v>0.16704220984602897</v>
      </c>
      <c r="H122">
        <f t="shared" si="59"/>
        <v>-2.9745504401539713</v>
      </c>
      <c r="J122">
        <f t="shared" si="60"/>
        <v>15</v>
      </c>
      <c r="M122">
        <f t="shared" si="61"/>
        <v>1.8131116800382364E-2</v>
      </c>
      <c r="N122">
        <f t="shared" si="62"/>
        <v>-1.5707963250000001</v>
      </c>
      <c r="O122">
        <f t="shared" si="63"/>
        <v>5.075764975211821</v>
      </c>
      <c r="P122">
        <f t="shared" si="64"/>
        <v>1.3724843859483906</v>
      </c>
      <c r="Q122">
        <f t="shared" si="65"/>
        <v>5.3306814089897472</v>
      </c>
      <c r="R122">
        <f t="shared" si="66"/>
        <v>1.3820849774682988</v>
      </c>
      <c r="S122">
        <f t="shared" si="67"/>
        <v>0.99994007798240037</v>
      </c>
      <c r="T122">
        <f t="shared" si="68"/>
        <v>-1.0947384715133492E-2</v>
      </c>
      <c r="U122">
        <f t="shared" si="69"/>
        <v>0.96737107181618065</v>
      </c>
      <c r="V122">
        <f t="shared" si="70"/>
        <v>-0.25615592770626017</v>
      </c>
      <c r="X122">
        <f t="shared" si="87"/>
        <v>-5.2101767190962498</v>
      </c>
      <c r="Y122">
        <f t="shared" si="71"/>
        <v>-116.32428316397115</v>
      </c>
      <c r="Z122">
        <f t="shared" si="88"/>
        <v>63.675716836028855</v>
      </c>
      <c r="AC122">
        <v>1</v>
      </c>
      <c r="AD122">
        <f t="shared" si="72"/>
        <v>4.9762827576000008</v>
      </c>
      <c r="AE122">
        <f t="shared" si="73"/>
        <v>-1.3757438935326147E-3</v>
      </c>
      <c r="AF122">
        <f t="shared" si="74"/>
        <v>5.2527429108E-3</v>
      </c>
      <c r="AG122">
        <f t="shared" si="89"/>
        <v>839.89307520808507</v>
      </c>
      <c r="AH122">
        <f t="shared" si="90"/>
        <v>-410.3528015822061</v>
      </c>
      <c r="AJ122">
        <f t="shared" si="75"/>
        <v>10500</v>
      </c>
      <c r="AK122">
        <f t="shared" si="76"/>
        <v>114.95213170056002</v>
      </c>
      <c r="AL122">
        <v>1</v>
      </c>
      <c r="AM122">
        <f t="shared" si="77"/>
        <v>5.2360447175467204</v>
      </c>
      <c r="AN122">
        <f t="shared" si="91"/>
        <v>390.68941152463361</v>
      </c>
      <c r="AO122">
        <f t="shared" si="92"/>
        <v>-1930.7150977144345</v>
      </c>
      <c r="AQ122">
        <f t="shared" si="78"/>
        <v>1.2911555842479019</v>
      </c>
      <c r="AR122">
        <f t="shared" si="79"/>
        <v>-113.62169141381537</v>
      </c>
      <c r="AT122">
        <f t="shared" si="104"/>
        <v>-45540.546757941971</v>
      </c>
      <c r="AU122">
        <f t="shared" si="105"/>
        <v>-95959.901123168092</v>
      </c>
      <c r="AV122">
        <f t="shared" si="93"/>
        <v>-2.0139010480833717</v>
      </c>
      <c r="AW122">
        <f t="shared" si="94"/>
        <v>-217868.16024742834</v>
      </c>
      <c r="AX122">
        <f t="shared" si="95"/>
        <v>-50115.67060186826</v>
      </c>
      <c r="AY122">
        <f t="shared" si="103"/>
        <v>-2.9154981370791062</v>
      </c>
      <c r="BA122">
        <f t="shared" si="80"/>
        <v>0.47512491552201208</v>
      </c>
      <c r="BB122">
        <f t="shared" si="96"/>
        <v>-6.4638438921420587</v>
      </c>
      <c r="BC122">
        <f t="shared" si="97"/>
        <v>0.90159708899573454</v>
      </c>
      <c r="BD122">
        <f t="shared" si="81"/>
        <v>-128.34229192023599</v>
      </c>
      <c r="BF122">
        <f t="shared" si="82"/>
        <v>-5.1995377964108478</v>
      </c>
      <c r="BG122">
        <f t="shared" si="83"/>
        <v>-117.18788165116553</v>
      </c>
      <c r="BH122">
        <f t="shared" si="98"/>
        <v>62.812118348834474</v>
      </c>
      <c r="BI122">
        <f t="shared" si="99"/>
        <v>62.812118348834474</v>
      </c>
      <c r="BJ122">
        <f t="shared" si="84"/>
        <v>0</v>
      </c>
      <c r="BK122">
        <f t="shared" si="100"/>
        <v>0</v>
      </c>
      <c r="BM122">
        <f t="shared" si="101"/>
        <v>1.2643060957312104</v>
      </c>
      <c r="BN122">
        <f t="shared" si="85"/>
        <v>-168.84558973092953</v>
      </c>
      <c r="BQ122" s="56">
        <f t="shared" si="102"/>
        <v>10.438116908143078</v>
      </c>
      <c r="BR122" s="59"/>
      <c r="BS122" s="59"/>
      <c r="BT122" s="59">
        <v>1318.2570000000001</v>
      </c>
      <c r="BU122" s="59">
        <v>12.682600000000001</v>
      </c>
      <c r="BV122" s="59">
        <v>-258.68299999999999</v>
      </c>
      <c r="BW122" s="61"/>
      <c r="BY122" s="59"/>
      <c r="BZ122" s="59"/>
      <c r="CA122" s="59"/>
      <c r="CC122" s="59"/>
    </row>
    <row r="123" spans="1:81" x14ac:dyDescent="0.2">
      <c r="A123">
        <f t="shared" si="106"/>
        <v>44500</v>
      </c>
      <c r="B123">
        <f t="shared" si="86"/>
        <v>44.5</v>
      </c>
      <c r="C123">
        <f t="shared" si="55"/>
        <v>1.0003908093154514</v>
      </c>
      <c r="D123">
        <f t="shared" si="56"/>
        <v>2.7952891846160212E-2</v>
      </c>
      <c r="F123">
        <f t="shared" si="57"/>
        <v>7.5253278293975573E-2</v>
      </c>
      <c r="G123">
        <f t="shared" si="58"/>
        <v>0.16491096742277234</v>
      </c>
      <c r="H123">
        <f t="shared" si="59"/>
        <v>-2.9766816825772278</v>
      </c>
      <c r="J123">
        <f t="shared" si="60"/>
        <v>15</v>
      </c>
      <c r="M123">
        <f t="shared" si="61"/>
        <v>1.7927396386894924E-2</v>
      </c>
      <c r="N123">
        <f t="shared" si="62"/>
        <v>-1.5707963250000001</v>
      </c>
      <c r="O123">
        <f t="shared" si="63"/>
        <v>5.1312174145603322</v>
      </c>
      <c r="P123">
        <f t="shared" si="64"/>
        <v>1.3746555907831899</v>
      </c>
      <c r="Q123">
        <f t="shared" si="65"/>
        <v>5.3891371514780593</v>
      </c>
      <c r="R123">
        <f t="shared" si="66"/>
        <v>1.3841561630847836</v>
      </c>
      <c r="S123">
        <f t="shared" si="67"/>
        <v>0.99993870850641509</v>
      </c>
      <c r="T123">
        <f t="shared" si="68"/>
        <v>-1.1071776705033556E-2</v>
      </c>
      <c r="U123">
        <f t="shared" si="69"/>
        <v>0.9666621758146039</v>
      </c>
      <c r="V123">
        <f t="shared" si="70"/>
        <v>-0.25893908119969278</v>
      </c>
      <c r="X123">
        <f t="shared" si="87"/>
        <v>-5.3341728701710078</v>
      </c>
      <c r="Y123">
        <f t="shared" si="71"/>
        <v>-116.35192728064463</v>
      </c>
      <c r="Z123">
        <f t="shared" si="88"/>
        <v>63.648072719355369</v>
      </c>
      <c r="AC123">
        <v>1</v>
      </c>
      <c r="AD123">
        <f t="shared" si="72"/>
        <v>5.0328314253000004</v>
      </c>
      <c r="AE123">
        <f t="shared" si="73"/>
        <v>-1.4071884530826241E-3</v>
      </c>
      <c r="AF123">
        <f t="shared" si="74"/>
        <v>5.3124331711499996E-3</v>
      </c>
      <c r="AG123">
        <f t="shared" si="89"/>
        <v>838.66256769197287</v>
      </c>
      <c r="AH123">
        <f t="shared" si="90"/>
        <v>-410.38752132044669</v>
      </c>
      <c r="AJ123">
        <f t="shared" si="75"/>
        <v>10500</v>
      </c>
      <c r="AK123">
        <f t="shared" si="76"/>
        <v>116.25840592443001</v>
      </c>
      <c r="AL123">
        <v>1</v>
      </c>
      <c r="AM123">
        <f t="shared" si="77"/>
        <v>5.2955452257006606</v>
      </c>
      <c r="AN123">
        <f t="shared" si="91"/>
        <v>382.73348087297097</v>
      </c>
      <c r="AO123">
        <f t="shared" si="92"/>
        <v>-1910.5240514282268</v>
      </c>
      <c r="AQ123">
        <f t="shared" si="78"/>
        <v>1.2623074981065388</v>
      </c>
      <c r="AR123">
        <f t="shared" si="79"/>
        <v>-112.34536733148195</v>
      </c>
      <c r="AT123">
        <f t="shared" si="104"/>
        <v>-45046.486783423104</v>
      </c>
      <c r="AU123">
        <f t="shared" si="105"/>
        <v>-94737.889479810692</v>
      </c>
      <c r="AV123">
        <f t="shared" si="93"/>
        <v>-2.0146406617483335</v>
      </c>
      <c r="AW123">
        <f t="shared" si="94"/>
        <v>-213165.53845512701</v>
      </c>
      <c r="AX123">
        <f t="shared" si="95"/>
        <v>-48610.590932484985</v>
      </c>
      <c r="AY123">
        <f t="shared" si="103"/>
        <v>-2.9173851522530772</v>
      </c>
      <c r="BA123">
        <f t="shared" si="80"/>
        <v>0.47979837540359693</v>
      </c>
      <c r="BB123">
        <f t="shared" si="96"/>
        <v>-6.3788245377200647</v>
      </c>
      <c r="BC123">
        <f t="shared" si="97"/>
        <v>0.9027444905047437</v>
      </c>
      <c r="BD123">
        <f t="shared" si="81"/>
        <v>-128.27655065628772</v>
      </c>
      <c r="BF123">
        <f t="shared" si="82"/>
        <v>-5.3230970120988701</v>
      </c>
      <c r="BG123">
        <f t="shared" si="83"/>
        <v>-117.22626548694602</v>
      </c>
      <c r="BH123">
        <f t="shared" si="98"/>
        <v>62.773734513053981</v>
      </c>
      <c r="BI123">
        <f t="shared" si="99"/>
        <v>62.773734513053981</v>
      </c>
      <c r="BJ123">
        <f t="shared" si="84"/>
        <v>0</v>
      </c>
      <c r="BK123">
        <f t="shared" si="100"/>
        <v>0</v>
      </c>
      <c r="BM123">
        <f t="shared" si="101"/>
        <v>1.055727525621194</v>
      </c>
      <c r="BN123">
        <f t="shared" si="85"/>
        <v>-168.94971483065831</v>
      </c>
      <c r="BQ123" s="56">
        <f t="shared" si="102"/>
        <v>10.523136262565071</v>
      </c>
      <c r="BR123" s="59"/>
      <c r="BS123" s="59"/>
      <c r="BT123" s="59">
        <v>1348.963</v>
      </c>
      <c r="BU123" s="59">
        <v>12.475899999999999</v>
      </c>
      <c r="BV123" s="59">
        <v>-258.79700000000003</v>
      </c>
      <c r="BW123" s="61"/>
      <c r="BY123" s="59"/>
      <c r="BZ123" s="59"/>
      <c r="CA123" s="59"/>
      <c r="CC123" s="59"/>
    </row>
    <row r="124" spans="1:81" x14ac:dyDescent="0.2">
      <c r="A124">
        <f t="shared" si="106"/>
        <v>45000</v>
      </c>
      <c r="B124">
        <f t="shared" si="86"/>
        <v>45</v>
      </c>
      <c r="C124">
        <f t="shared" si="55"/>
        <v>1.0003996391216168</v>
      </c>
      <c r="D124">
        <f t="shared" si="56"/>
        <v>2.8266802936761343E-2</v>
      </c>
      <c r="F124">
        <f t="shared" si="57"/>
        <v>7.3489155364857867E-2</v>
      </c>
      <c r="G124">
        <f t="shared" si="58"/>
        <v>0.16283605123873796</v>
      </c>
      <c r="H124">
        <f t="shared" si="59"/>
        <v>-2.9787565987612621</v>
      </c>
      <c r="J124">
        <f t="shared" si="60"/>
        <v>15</v>
      </c>
      <c r="M124">
        <f t="shared" si="61"/>
        <v>1.77282030937072E-2</v>
      </c>
      <c r="N124">
        <f t="shared" si="62"/>
        <v>-1.5707963250000001</v>
      </c>
      <c r="O124">
        <f t="shared" si="63"/>
        <v>5.1866935258432889</v>
      </c>
      <c r="P124">
        <f t="shared" si="64"/>
        <v>1.3767803596813644</v>
      </c>
      <c r="Q124">
        <f t="shared" si="65"/>
        <v>5.4476155161386295</v>
      </c>
      <c r="R124">
        <f t="shared" si="66"/>
        <v>1.3861828902450255</v>
      </c>
      <c r="S124">
        <f t="shared" si="67"/>
        <v>0.99993732356184739</v>
      </c>
      <c r="T124">
        <f t="shared" si="68"/>
        <v>-1.119616835228523E-2</v>
      </c>
      <c r="U124">
        <f t="shared" si="69"/>
        <v>0.96594685231263788</v>
      </c>
      <c r="V124">
        <f t="shared" si="70"/>
        <v>-0.26171813716342435</v>
      </c>
      <c r="X124">
        <f t="shared" si="87"/>
        <v>-5.4564838891205323</v>
      </c>
      <c r="Y124">
        <f t="shared" si="71"/>
        <v>-116.38131753156719</v>
      </c>
      <c r="Z124">
        <f t="shared" si="88"/>
        <v>63.618682468432809</v>
      </c>
      <c r="AC124">
        <v>1</v>
      </c>
      <c r="AD124">
        <f t="shared" si="72"/>
        <v>5.0893800930000008</v>
      </c>
      <c r="AE124">
        <f t="shared" si="73"/>
        <v>-1.438988318390261E-3</v>
      </c>
      <c r="AF124">
        <f t="shared" si="74"/>
        <v>5.3721234315000001E-3</v>
      </c>
      <c r="AG124">
        <f t="shared" si="89"/>
        <v>837.4218176277908</v>
      </c>
      <c r="AH124">
        <f t="shared" si="90"/>
        <v>-410.45970764596541</v>
      </c>
      <c r="AJ124">
        <f t="shared" si="75"/>
        <v>10500</v>
      </c>
      <c r="AK124">
        <f t="shared" si="76"/>
        <v>117.56468014830003</v>
      </c>
      <c r="AL124">
        <v>1</v>
      </c>
      <c r="AM124">
        <f t="shared" si="77"/>
        <v>5.3550457338546007</v>
      </c>
      <c r="AN124">
        <f t="shared" si="91"/>
        <v>375.02935602471445</v>
      </c>
      <c r="AO124">
        <f t="shared" si="92"/>
        <v>-1890.7346729020851</v>
      </c>
      <c r="AQ124">
        <f t="shared" si="78"/>
        <v>1.2344155042587335</v>
      </c>
      <c r="AR124">
        <f t="shared" si="79"/>
        <v>-111.09739538328601</v>
      </c>
      <c r="AT124">
        <f t="shared" si="104"/>
        <v>-44567.277953967532</v>
      </c>
      <c r="AU124">
        <f t="shared" si="105"/>
        <v>-93542.060602576385</v>
      </c>
      <c r="AV124">
        <f t="shared" si="93"/>
        <v>-2.0154197771742455</v>
      </c>
      <c r="AW124">
        <f t="shared" si="94"/>
        <v>-208611.31061305408</v>
      </c>
      <c r="AX124">
        <f t="shared" si="95"/>
        <v>-47168.569674967839</v>
      </c>
      <c r="AY124">
        <f t="shared" si="103"/>
        <v>-2.9192243829665152</v>
      </c>
      <c r="BA124">
        <f t="shared" si="80"/>
        <v>0.48446630100058952</v>
      </c>
      <c r="BB124">
        <f t="shared" si="96"/>
        <v>-6.294728533192532</v>
      </c>
      <c r="BC124">
        <f t="shared" si="97"/>
        <v>0.90380460579226973</v>
      </c>
      <c r="BD124">
        <f t="shared" si="81"/>
        <v>-128.21581052444577</v>
      </c>
      <c r="BF124">
        <f t="shared" si="82"/>
        <v>-5.4449677058393124</v>
      </c>
      <c r="BG124">
        <f t="shared" si="83"/>
        <v>-117.26642351477412</v>
      </c>
      <c r="BH124">
        <f t="shared" si="98"/>
        <v>62.733576485225882</v>
      </c>
      <c r="BI124">
        <f t="shared" si="99"/>
        <v>62.733576485225882</v>
      </c>
      <c r="BJ124">
        <f t="shared" si="84"/>
        <v>0</v>
      </c>
      <c r="BK124">
        <f t="shared" si="100"/>
        <v>0</v>
      </c>
      <c r="BM124">
        <f t="shared" si="101"/>
        <v>0.84976082735322089</v>
      </c>
      <c r="BN124">
        <f t="shared" si="85"/>
        <v>-169.05061299032835</v>
      </c>
      <c r="BQ124" s="56">
        <f t="shared" si="102"/>
        <v>10.607232267092604</v>
      </c>
      <c r="BR124" s="59"/>
      <c r="BS124" s="59"/>
      <c r="BT124" s="59">
        <v>1380.384</v>
      </c>
      <c r="BU124" s="59">
        <v>12.2584</v>
      </c>
      <c r="BV124" s="59">
        <v>-258.41000000000003</v>
      </c>
      <c r="BW124" s="61"/>
      <c r="BY124" s="59"/>
      <c r="BZ124" s="59"/>
      <c r="CA124" s="59"/>
      <c r="CC124" s="59"/>
    </row>
    <row r="125" spans="1:81" x14ac:dyDescent="0.2">
      <c r="A125">
        <f t="shared" si="106"/>
        <v>45500</v>
      </c>
      <c r="B125">
        <f t="shared" si="86"/>
        <v>45.5</v>
      </c>
      <c r="C125">
        <f t="shared" si="55"/>
        <v>1.0004085675055898</v>
      </c>
      <c r="D125">
        <f t="shared" si="56"/>
        <v>2.858070845514608E-2</v>
      </c>
      <c r="F125">
        <f t="shared" si="57"/>
        <v>7.1787409477567968E-2</v>
      </c>
      <c r="G125">
        <f t="shared" si="58"/>
        <v>0.1608151817004779</v>
      </c>
      <c r="H125">
        <f t="shared" si="59"/>
        <v>-2.9807774682995225</v>
      </c>
      <c r="J125">
        <f t="shared" si="60"/>
        <v>15</v>
      </c>
      <c r="M125">
        <f t="shared" si="61"/>
        <v>1.7533387675095033E-2</v>
      </c>
      <c r="N125">
        <f t="shared" si="62"/>
        <v>-1.5707963250000001</v>
      </c>
      <c r="O125">
        <f t="shared" si="63"/>
        <v>5.2421925575277593</v>
      </c>
      <c r="P125">
        <f t="shared" si="64"/>
        <v>1.378860147996831</v>
      </c>
      <c r="Q125">
        <f t="shared" si="65"/>
        <v>5.5061157821870044</v>
      </c>
      <c r="R125">
        <f t="shared" si="66"/>
        <v>1.3881665590876167</v>
      </c>
      <c r="S125">
        <f t="shared" si="67"/>
        <v>0.99993592314888979</v>
      </c>
      <c r="T125">
        <f t="shared" si="68"/>
        <v>-1.1320559653040456E-2</v>
      </c>
      <c r="U125">
        <f t="shared" si="69"/>
        <v>0.96522514867848341</v>
      </c>
      <c r="V125">
        <f t="shared" si="70"/>
        <v>-0.26449306180890358</v>
      </c>
      <c r="X125">
        <f t="shared" si="87"/>
        <v>-5.5771622556285365</v>
      </c>
      <c r="Y125">
        <f t="shared" si="71"/>
        <v>-116.41241898752756</v>
      </c>
      <c r="Z125">
        <f t="shared" si="88"/>
        <v>63.587581012472441</v>
      </c>
      <c r="AC125">
        <v>1</v>
      </c>
      <c r="AD125">
        <f t="shared" si="72"/>
        <v>5.1459287607000004</v>
      </c>
      <c r="AE125">
        <f t="shared" si="73"/>
        <v>-1.4711434894555246E-3</v>
      </c>
      <c r="AF125">
        <f t="shared" si="74"/>
        <v>5.4318136918499998E-3</v>
      </c>
      <c r="AG125">
        <f t="shared" si="89"/>
        <v>836.17093184435964</v>
      </c>
      <c r="AH125">
        <f t="shared" si="90"/>
        <v>-410.56773095898262</v>
      </c>
      <c r="AJ125">
        <f t="shared" si="75"/>
        <v>10500</v>
      </c>
      <c r="AK125">
        <f t="shared" si="76"/>
        <v>118.87095437217002</v>
      </c>
      <c r="AL125">
        <v>1</v>
      </c>
      <c r="AM125">
        <f t="shared" si="77"/>
        <v>5.4145462420085408</v>
      </c>
      <c r="AN125">
        <f t="shared" si="91"/>
        <v>367.56664457353776</v>
      </c>
      <c r="AO125">
        <f t="shared" si="92"/>
        <v>-1871.3356396911679</v>
      </c>
      <c r="AQ125">
        <f t="shared" si="78"/>
        <v>1.2074378169524269</v>
      </c>
      <c r="AR125">
        <f t="shared" si="79"/>
        <v>-109.87684134267086</v>
      </c>
      <c r="AT125">
        <f t="shared" si="104"/>
        <v>-44102.261030455273</v>
      </c>
      <c r="AU125">
        <f t="shared" si="105"/>
        <v>-92371.555818396184</v>
      </c>
      <c r="AV125">
        <f t="shared" si="93"/>
        <v>-2.0162369987191324</v>
      </c>
      <c r="AW125">
        <f t="shared" si="94"/>
        <v>-204199.37847977699</v>
      </c>
      <c r="AX125">
        <f t="shared" si="95"/>
        <v>-45786.320413325069</v>
      </c>
      <c r="AY125">
        <f t="shared" si="103"/>
        <v>-2.921017319654549</v>
      </c>
      <c r="BA125">
        <f t="shared" si="80"/>
        <v>0.48912846421690881</v>
      </c>
      <c r="BB125">
        <f t="shared" si="96"/>
        <v>-6.2115412644233832</v>
      </c>
      <c r="BC125">
        <f t="shared" si="97"/>
        <v>0.9047803209354166</v>
      </c>
      <c r="BD125">
        <f t="shared" si="81"/>
        <v>-128.15990616467258</v>
      </c>
      <c r="BF125">
        <f t="shared" si="82"/>
        <v>-5.5652024027406473</v>
      </c>
      <c r="BG125">
        <f t="shared" si="83"/>
        <v>-117.30832098923224</v>
      </c>
      <c r="BH125">
        <f t="shared" si="98"/>
        <v>62.691679010767757</v>
      </c>
      <c r="BI125">
        <f t="shared" si="99"/>
        <v>62.691679010767757</v>
      </c>
      <c r="BJ125">
        <f t="shared" si="84"/>
        <v>0</v>
      </c>
      <c r="BK125">
        <f t="shared" si="100"/>
        <v>0</v>
      </c>
      <c r="BM125">
        <f t="shared" si="101"/>
        <v>0.6463388616827358</v>
      </c>
      <c r="BN125">
        <f t="shared" si="85"/>
        <v>-169.14841482455969</v>
      </c>
      <c r="BQ125" s="56">
        <f t="shared" si="102"/>
        <v>10.690419535861754</v>
      </c>
      <c r="BR125" s="59"/>
      <c r="BS125" s="59"/>
      <c r="BT125" s="59">
        <v>1412.538</v>
      </c>
      <c r="BU125" s="59">
        <v>12.0929</v>
      </c>
      <c r="BV125" s="59">
        <v>-258.13599999999997</v>
      </c>
      <c r="BW125" s="61"/>
      <c r="BY125" s="59"/>
      <c r="BZ125" s="59"/>
      <c r="CA125" s="59"/>
      <c r="CC125" s="59"/>
    </row>
    <row r="126" spans="1:81" x14ac:dyDescent="0.2">
      <c r="A126">
        <f t="shared" si="106"/>
        <v>46000</v>
      </c>
      <c r="B126">
        <f t="shared" si="86"/>
        <v>46</v>
      </c>
      <c r="C126">
        <f t="shared" si="55"/>
        <v>1.0004175944647311</v>
      </c>
      <c r="D126">
        <f t="shared" si="56"/>
        <v>2.8894608339602043E-2</v>
      </c>
      <c r="F126">
        <f t="shared" si="57"/>
        <v>7.0145089777778086E-2</v>
      </c>
      <c r="G126">
        <f t="shared" si="58"/>
        <v>0.15884620326896146</v>
      </c>
      <c r="H126">
        <f t="shared" si="59"/>
        <v>-2.9827464467310389</v>
      </c>
      <c r="J126">
        <f t="shared" si="60"/>
        <v>15</v>
      </c>
      <c r="M126">
        <f t="shared" si="61"/>
        <v>1.7342807374278783E-2</v>
      </c>
      <c r="N126">
        <f t="shared" si="62"/>
        <v>-1.5707963250000001</v>
      </c>
      <c r="O126">
        <f t="shared" si="63"/>
        <v>5.2977137892690536</v>
      </c>
      <c r="P126">
        <f t="shared" si="64"/>
        <v>1.3808963516683612</v>
      </c>
      <c r="Q126">
        <f t="shared" si="65"/>
        <v>5.5646372588843933</v>
      </c>
      <c r="R126">
        <f t="shared" si="66"/>
        <v>1.3901085122407333</v>
      </c>
      <c r="S126">
        <f t="shared" si="67"/>
        <v>0.99993450726773769</v>
      </c>
      <c r="T126">
        <f t="shared" si="68"/>
        <v>-1.1444950603451232E-2</v>
      </c>
      <c r="U126">
        <f t="shared" si="69"/>
        <v>0.96449711250768744</v>
      </c>
      <c r="V126">
        <f t="shared" si="70"/>
        <v>-0.26726382170245339</v>
      </c>
      <c r="X126">
        <f t="shared" si="87"/>
        <v>-5.6962581050345893</v>
      </c>
      <c r="Y126">
        <f t="shared" si="71"/>
        <v>-116.44519633119353</v>
      </c>
      <c r="Z126">
        <f t="shared" si="88"/>
        <v>63.554803668806471</v>
      </c>
      <c r="AC126">
        <v>1</v>
      </c>
      <c r="AD126">
        <f t="shared" si="72"/>
        <v>5.2024774284000008</v>
      </c>
      <c r="AE126">
        <f t="shared" si="73"/>
        <v>-1.503653966278416E-3</v>
      </c>
      <c r="AF126">
        <f t="shared" si="74"/>
        <v>5.4915039521999994E-3</v>
      </c>
      <c r="AG126">
        <f t="shared" si="89"/>
        <v>834.91001753893636</v>
      </c>
      <c r="AH126">
        <f t="shared" si="90"/>
        <v>-410.71003116631493</v>
      </c>
      <c r="AJ126">
        <f t="shared" si="75"/>
        <v>10500</v>
      </c>
      <c r="AK126">
        <f t="shared" si="76"/>
        <v>120.17722859604001</v>
      </c>
      <c r="AL126">
        <v>1</v>
      </c>
      <c r="AM126">
        <f t="shared" si="77"/>
        <v>5.474046750162481</v>
      </c>
      <c r="AN126">
        <f t="shared" si="91"/>
        <v>360.33547839050379</v>
      </c>
      <c r="AO126">
        <f t="shared" si="92"/>
        <v>-1852.31602585574</v>
      </c>
      <c r="AQ126">
        <f t="shared" si="78"/>
        <v>1.1813349084465445</v>
      </c>
      <c r="AR126">
        <f t="shared" si="79"/>
        <v>-108.68281157708211</v>
      </c>
      <c r="AT126">
        <f t="shared" si="104"/>
        <v>-43650.812580935664</v>
      </c>
      <c r="AU126">
        <f t="shared" si="105"/>
        <v>-91225.554217068464</v>
      </c>
      <c r="AV126">
        <f t="shared" si="93"/>
        <v>-2.0170909864466151</v>
      </c>
      <c r="AW126">
        <f t="shared" si="94"/>
        <v>-199923.9497800481</v>
      </c>
      <c r="AX126">
        <f t="shared" si="95"/>
        <v>-44460.759842890759</v>
      </c>
      <c r="AY126">
        <f t="shared" si="103"/>
        <v>-2.9227653912477889</v>
      </c>
      <c r="BA126">
        <f t="shared" si="80"/>
        <v>0.49378464442145242</v>
      </c>
      <c r="BB126">
        <f t="shared" si="96"/>
        <v>-6.1292483952798467</v>
      </c>
      <c r="BC126">
        <f t="shared" si="97"/>
        <v>0.90567440480117378</v>
      </c>
      <c r="BD126">
        <f t="shared" si="81"/>
        <v>-128.1086789325754</v>
      </c>
      <c r="BF126">
        <f t="shared" si="82"/>
        <v>-5.6838512837383037</v>
      </c>
      <c r="BG126">
        <f t="shared" si="83"/>
        <v>-117.35192277275264</v>
      </c>
      <c r="BH126">
        <f t="shared" si="98"/>
        <v>62.648077227247356</v>
      </c>
      <c r="BI126">
        <f t="shared" si="99"/>
        <v>62.648077227247356</v>
      </c>
      <c r="BJ126">
        <f t="shared" si="84"/>
        <v>0</v>
      </c>
      <c r="BK126">
        <f t="shared" si="100"/>
        <v>0</v>
      </c>
      <c r="BM126">
        <f t="shared" si="101"/>
        <v>0.44539711154154238</v>
      </c>
      <c r="BN126">
        <f t="shared" si="85"/>
        <v>-169.24324384017723</v>
      </c>
      <c r="BQ126" s="56">
        <f t="shared" si="102"/>
        <v>10.77271240500529</v>
      </c>
      <c r="BR126" s="59"/>
      <c r="BS126" s="59"/>
      <c r="BT126" s="59">
        <v>1445.44</v>
      </c>
      <c r="BU126" s="59">
        <v>11.918900000000001</v>
      </c>
      <c r="BV126" s="59">
        <v>-257.92899999999997</v>
      </c>
      <c r="BW126" s="61"/>
      <c r="BY126" s="59"/>
      <c r="BZ126" s="59"/>
      <c r="CA126" s="59"/>
      <c r="CC126" s="59"/>
    </row>
    <row r="127" spans="1:81" x14ac:dyDescent="0.2">
      <c r="A127">
        <f t="shared" si="106"/>
        <v>46500</v>
      </c>
      <c r="B127">
        <f t="shared" si="86"/>
        <v>46.5</v>
      </c>
      <c r="C127">
        <f t="shared" si="55"/>
        <v>1.0004267199963721</v>
      </c>
      <c r="D127">
        <f t="shared" si="56"/>
        <v>2.9208502528423504E-2</v>
      </c>
      <c r="F127">
        <f t="shared" si="57"/>
        <v>6.8559420114839328E-2</v>
      </c>
      <c r="G127">
        <f t="shared" si="58"/>
        <v>0.15692707602513159</v>
      </c>
      <c r="H127">
        <f t="shared" si="59"/>
        <v>-2.9846655739748686</v>
      </c>
      <c r="J127">
        <f t="shared" si="60"/>
        <v>15</v>
      </c>
      <c r="M127">
        <f t="shared" si="61"/>
        <v>1.7156325574555355E-2</v>
      </c>
      <c r="N127">
        <f t="shared" si="62"/>
        <v>-1.5707963250000001</v>
      </c>
      <c r="O127">
        <f t="shared" si="63"/>
        <v>5.3532565303243969</v>
      </c>
      <c r="P127">
        <f t="shared" si="64"/>
        <v>1.3828903101811196</v>
      </c>
      <c r="Q127">
        <f t="shared" si="65"/>
        <v>5.6231792840012824</v>
      </c>
      <c r="R127">
        <f t="shared" si="66"/>
        <v>1.3920100377101696</v>
      </c>
      <c r="S127">
        <f t="shared" si="67"/>
        <v>0.99993307591858827</v>
      </c>
      <c r="T127">
        <f t="shared" si="68"/>
        <v>-1.156934119966963E-2</v>
      </c>
      <c r="U127">
        <f t="shared" si="69"/>
        <v>0.96376279161534828</v>
      </c>
      <c r="V127">
        <f t="shared" si="70"/>
        <v>-0.27003038376645916</v>
      </c>
      <c r="X127">
        <f t="shared" si="87"/>
        <v>-5.8138193623247574</v>
      </c>
      <c r="Y127">
        <f t="shared" si="71"/>
        <v>-116.47961400528206</v>
      </c>
      <c r="Z127">
        <f t="shared" si="88"/>
        <v>63.520385994717941</v>
      </c>
      <c r="AC127">
        <v>1</v>
      </c>
      <c r="AD127">
        <f t="shared" si="72"/>
        <v>5.2590260961000004</v>
      </c>
      <c r="AE127">
        <f t="shared" si="73"/>
        <v>-1.5365197488589341E-3</v>
      </c>
      <c r="AF127">
        <f t="shared" si="74"/>
        <v>5.5511942125499999E-3</v>
      </c>
      <c r="AG127">
        <f t="shared" si="89"/>
        <v>833.63918225683062</v>
      </c>
      <c r="AH127">
        <f t="shared" si="90"/>
        <v>-410.8851140181016</v>
      </c>
      <c r="AJ127">
        <f t="shared" si="75"/>
        <v>10500</v>
      </c>
      <c r="AK127">
        <f t="shared" si="76"/>
        <v>121.48350281991002</v>
      </c>
      <c r="AL127">
        <v>1</v>
      </c>
      <c r="AM127">
        <f t="shared" si="77"/>
        <v>5.5335472583164202</v>
      </c>
      <c r="AN127">
        <f t="shared" si="91"/>
        <v>353.32648259795843</v>
      </c>
      <c r="AO127">
        <f t="shared" si="92"/>
        <v>-1833.6652862506071</v>
      </c>
      <c r="AQ127">
        <f t="shared" si="78"/>
        <v>1.1560693641618498</v>
      </c>
      <c r="AR127">
        <f t="shared" si="79"/>
        <v>-107.51445086705202</v>
      </c>
      <c r="AT127">
        <f t="shared" si="104"/>
        <v>-43212.342683730196</v>
      </c>
      <c r="AU127">
        <f t="shared" si="105"/>
        <v>-90103.270594107918</v>
      </c>
      <c r="AV127">
        <f t="shared" si="93"/>
        <v>-2.0179804533840313</v>
      </c>
      <c r="AW127">
        <f t="shared" si="94"/>
        <v>-195779.52022337116</v>
      </c>
      <c r="AX127">
        <f t="shared" si="95"/>
        <v>-43188.9933260619</v>
      </c>
      <c r="AY127">
        <f t="shared" si="103"/>
        <v>-2.9244699682786357</v>
      </c>
      <c r="BA127">
        <f t="shared" si="80"/>
        <v>0.49843462810218664</v>
      </c>
      <c r="BB127">
        <f t="shared" si="96"/>
        <v>-6.047835865048123</v>
      </c>
      <c r="BC127">
        <f t="shared" si="97"/>
        <v>0.90648951489460439</v>
      </c>
      <c r="BD127">
        <f t="shared" si="81"/>
        <v>-128.06197656432994</v>
      </c>
      <c r="BF127">
        <f t="shared" si="82"/>
        <v>-5.8009623195767972</v>
      </c>
      <c r="BG127">
        <f t="shared" si="83"/>
        <v>-117.39719348379914</v>
      </c>
      <c r="BH127">
        <f t="shared" si="98"/>
        <v>62.602806516200857</v>
      </c>
      <c r="BI127">
        <f t="shared" si="99"/>
        <v>62.602806516200857</v>
      </c>
      <c r="BJ127">
        <f t="shared" si="84"/>
        <v>0</v>
      </c>
      <c r="BK127">
        <f t="shared" si="100"/>
        <v>0</v>
      </c>
      <c r="BM127">
        <f t="shared" si="101"/>
        <v>0.24687354547132567</v>
      </c>
      <c r="BN127">
        <f t="shared" si="85"/>
        <v>-169.33521691946919</v>
      </c>
      <c r="BQ127" s="56">
        <f t="shared" si="102"/>
        <v>10.854124935237014</v>
      </c>
      <c r="BR127" s="59"/>
      <c r="BS127" s="59"/>
      <c r="BT127" s="59">
        <v>1479.1079999999999</v>
      </c>
      <c r="BU127" s="59">
        <v>11.714700000000001</v>
      </c>
      <c r="BV127" s="59">
        <v>-257.745</v>
      </c>
      <c r="BW127" s="61"/>
      <c r="BY127" s="59"/>
      <c r="BZ127" s="59"/>
      <c r="CA127" s="59"/>
      <c r="CC127" s="59"/>
    </row>
    <row r="128" spans="1:81" x14ac:dyDescent="0.2">
      <c r="A128">
        <f t="shared" si="106"/>
        <v>47000</v>
      </c>
      <c r="B128">
        <f t="shared" si="86"/>
        <v>47</v>
      </c>
      <c r="C128">
        <f t="shared" si="55"/>
        <v>1.0004359440978154</v>
      </c>
      <c r="D128">
        <f t="shared" si="56"/>
        <v>2.9522390959911455E-2</v>
      </c>
      <c r="F128">
        <f t="shared" si="57"/>
        <v>6.7027786642327641E-2</v>
      </c>
      <c r="G128">
        <f t="shared" si="58"/>
        <v>0.15505586791914819</v>
      </c>
      <c r="H128">
        <f t="shared" si="59"/>
        <v>-2.9865367820808522</v>
      </c>
      <c r="J128">
        <f t="shared" si="60"/>
        <v>15</v>
      </c>
      <c r="M128">
        <f t="shared" si="61"/>
        <v>1.6973811472698382E-2</v>
      </c>
      <c r="N128">
        <f t="shared" si="62"/>
        <v>-1.5707963250000001</v>
      </c>
      <c r="O128">
        <f t="shared" si="63"/>
        <v>5.4088201180615556</v>
      </c>
      <c r="P128">
        <f t="shared" si="64"/>
        <v>1.3848433093552599</v>
      </c>
      <c r="Q128">
        <f t="shared" si="65"/>
        <v>5.6817412223735682</v>
      </c>
      <c r="R128">
        <f t="shared" si="66"/>
        <v>1.3938723715972061</v>
      </c>
      <c r="S128">
        <f t="shared" si="67"/>
        <v>0.99993162910164046</v>
      </c>
      <c r="T128">
        <f t="shared" si="68"/>
        <v>-1.1693731437847779E-2</v>
      </c>
      <c r="U128">
        <f t="shared" si="69"/>
        <v>0.9630222340283453</v>
      </c>
      <c r="V128">
        <f t="shared" si="70"/>
        <v>-0.27279271528048871</v>
      </c>
      <c r="X128">
        <f t="shared" si="87"/>
        <v>-5.9298918669034792</v>
      </c>
      <c r="Y128">
        <f t="shared" si="71"/>
        <v>-116.51563634121248</v>
      </c>
      <c r="Z128">
        <f t="shared" si="88"/>
        <v>63.484363658787515</v>
      </c>
      <c r="AC128">
        <v>1</v>
      </c>
      <c r="AD128">
        <f t="shared" si="72"/>
        <v>5.3155747637999999</v>
      </c>
      <c r="AE128">
        <f t="shared" si="73"/>
        <v>-1.5697408371970797E-3</v>
      </c>
      <c r="AF128">
        <f t="shared" si="74"/>
        <v>5.6108844728999996E-3</v>
      </c>
      <c r="AG128">
        <f t="shared" si="89"/>
        <v>832.35853387111979</v>
      </c>
      <c r="AH128">
        <f t="shared" si="90"/>
        <v>-411.09154767801169</v>
      </c>
      <c r="AJ128">
        <f t="shared" si="75"/>
        <v>10500</v>
      </c>
      <c r="AK128">
        <f t="shared" si="76"/>
        <v>122.78977704378001</v>
      </c>
      <c r="AL128">
        <v>1</v>
      </c>
      <c r="AM128">
        <f t="shared" si="77"/>
        <v>5.5930477664703604</v>
      </c>
      <c r="AN128">
        <f t="shared" si="91"/>
        <v>346.53074663620851</v>
      </c>
      <c r="AO128">
        <f t="shared" si="92"/>
        <v>-1815.3732414431722</v>
      </c>
      <c r="AQ128">
        <f t="shared" si="78"/>
        <v>1.1316057485572026</v>
      </c>
      <c r="AR128">
        <f t="shared" si="79"/>
        <v>-106.37094036437705</v>
      </c>
      <c r="AT128">
        <f t="shared" si="104"/>
        <v>-42786.292800568044</v>
      </c>
      <c r="AU128">
        <f t="shared" si="105"/>
        <v>-89003.953526720914</v>
      </c>
      <c r="AV128">
        <f t="shared" si="93"/>
        <v>-2.0189041629394806</v>
      </c>
      <c r="AW128">
        <f t="shared" si="94"/>
        <v>-191760.85672479824</v>
      </c>
      <c r="AX128">
        <f t="shared" si="95"/>
        <v>-41968.301605092987</v>
      </c>
      <c r="AY128">
        <f t="shared" si="103"/>
        <v>-2.9261323658034768</v>
      </c>
      <c r="BA128">
        <f t="shared" si="80"/>
        <v>0.50307820854228802</v>
      </c>
      <c r="BB128">
        <f t="shared" si="96"/>
        <v>-5.9672898854391008</v>
      </c>
      <c r="BC128">
        <f t="shared" si="97"/>
        <v>0.90722820286399619</v>
      </c>
      <c r="BD128">
        <f t="shared" si="81"/>
        <v>-128.01965286125835</v>
      </c>
      <c r="BF128">
        <f t="shared" si="82"/>
        <v>-5.9165813955732762</v>
      </c>
      <c r="BG128">
        <f t="shared" si="83"/>
        <v>-117.44409762553077</v>
      </c>
      <c r="BH128">
        <f t="shared" si="98"/>
        <v>62.555902374469227</v>
      </c>
      <c r="BI128">
        <f t="shared" si="99"/>
        <v>62.555902374469227</v>
      </c>
      <c r="BJ128">
        <f t="shared" si="84"/>
        <v>0</v>
      </c>
      <c r="BK128">
        <f t="shared" si="100"/>
        <v>0</v>
      </c>
      <c r="BM128">
        <f t="shared" si="101"/>
        <v>5.0708489865824789E-2</v>
      </c>
      <c r="BN128">
        <f t="shared" si="85"/>
        <v>-169.42444476427244</v>
      </c>
      <c r="BQ128" s="56">
        <f t="shared" si="102"/>
        <v>10.934670914846036</v>
      </c>
      <c r="BR128" s="59"/>
      <c r="BS128" s="59"/>
      <c r="BT128" s="59">
        <v>1513.5609999999999</v>
      </c>
      <c r="BU128" s="59">
        <v>11.5252</v>
      </c>
      <c r="BV128" s="59">
        <v>-257.61</v>
      </c>
      <c r="BW128" s="61"/>
      <c r="BY128" s="59"/>
      <c r="BZ128" s="59"/>
      <c r="CA128" s="59"/>
      <c r="CC128" s="59"/>
    </row>
    <row r="129" spans="1:81" x14ac:dyDescent="0.2">
      <c r="A129">
        <f t="shared" si="106"/>
        <v>47500</v>
      </c>
      <c r="B129">
        <f t="shared" si="86"/>
        <v>47.5</v>
      </c>
      <c r="C129">
        <f t="shared" si="55"/>
        <v>1.0004452667663348</v>
      </c>
      <c r="D129">
        <f t="shared" si="56"/>
        <v>2.98362735723737E-2</v>
      </c>
      <c r="F129">
        <f t="shared" si="57"/>
        <v>6.5547726442153786E-2</v>
      </c>
      <c r="G129">
        <f t="shared" si="58"/>
        <v>0.15323074763932384</v>
      </c>
      <c r="H129">
        <f t="shared" si="59"/>
        <v>-2.9883619023606762</v>
      </c>
      <c r="J129">
        <f t="shared" si="60"/>
        <v>15</v>
      </c>
      <c r="M129">
        <f t="shared" si="61"/>
        <v>1.679513977298577E-2</v>
      </c>
      <c r="N129">
        <f t="shared" si="62"/>
        <v>-1.5707963250000001</v>
      </c>
      <c r="O129">
        <f t="shared" si="63"/>
        <v>5.464403916555888</v>
      </c>
      <c r="P129">
        <f t="shared" si="64"/>
        <v>1.38675658397308</v>
      </c>
      <c r="Q129">
        <f t="shared" si="65"/>
        <v>5.7403224645448407</v>
      </c>
      <c r="R129">
        <f t="shared" si="66"/>
        <v>1.3956967006577448</v>
      </c>
      <c r="S129">
        <f t="shared" si="67"/>
        <v>0.99993016681709623</v>
      </c>
      <c r="T129">
        <f t="shared" si="68"/>
        <v>-1.1818121314137878E-2</v>
      </c>
      <c r="U129">
        <f t="shared" si="69"/>
        <v>0.96227548797758533</v>
      </c>
      <c r="V129">
        <f t="shared" si="70"/>
        <v>-0.27555078388234655</v>
      </c>
      <c r="X129">
        <f t="shared" si="87"/>
        <v>-6.044519488880117</v>
      </c>
      <c r="Y129">
        <f t="shared" si="71"/>
        <v>-116.55322767059353</v>
      </c>
      <c r="Z129">
        <f t="shared" si="88"/>
        <v>63.446772329406471</v>
      </c>
      <c r="AC129">
        <v>1</v>
      </c>
      <c r="AD129">
        <f t="shared" si="72"/>
        <v>5.3721234315000004</v>
      </c>
      <c r="AE129">
        <f t="shared" si="73"/>
        <v>-1.6033172312928526E-3</v>
      </c>
      <c r="AF129">
        <f t="shared" si="74"/>
        <v>5.6705747332499992E-3</v>
      </c>
      <c r="AG129">
        <f t="shared" si="89"/>
        <v>831.0681805624655</v>
      </c>
      <c r="AH129">
        <f t="shared" si="90"/>
        <v>-411.32795950970302</v>
      </c>
      <c r="AJ129">
        <f t="shared" si="75"/>
        <v>10500</v>
      </c>
      <c r="AK129">
        <f t="shared" si="76"/>
        <v>124.09605126765003</v>
      </c>
      <c r="AL129">
        <v>1</v>
      </c>
      <c r="AM129">
        <f t="shared" si="77"/>
        <v>5.6525482746243005</v>
      </c>
      <c r="AN129">
        <f t="shared" si="91"/>
        <v>339.93979726551282</v>
      </c>
      <c r="AO129">
        <f t="shared" si="92"/>
        <v>-1797.4300632416591</v>
      </c>
      <c r="AQ129">
        <f t="shared" si="78"/>
        <v>1.1079104808331486</v>
      </c>
      <c r="AR129">
        <f t="shared" si="79"/>
        <v>-105.25149567914913</v>
      </c>
      <c r="AT129">
        <f t="shared" si="104"/>
        <v>-42372.133805516642</v>
      </c>
      <c r="AU129">
        <f t="shared" si="105"/>
        <v>-87926.883572949184</v>
      </c>
      <c r="AV129">
        <f t="shared" si="93"/>
        <v>-2.0198609264673344</v>
      </c>
      <c r="AW129">
        <f t="shared" si="94"/>
        <v>-187862.98173851168</v>
      </c>
      <c r="AX129">
        <f t="shared" si="95"/>
        <v>-40796.128569199282</v>
      </c>
      <c r="AY129">
        <f t="shared" si="103"/>
        <v>-2.9277538461532373</v>
      </c>
      <c r="BA129">
        <f t="shared" si="80"/>
        <v>0.50771518551669892</v>
      </c>
      <c r="BB129">
        <f t="shared" si="96"/>
        <v>-5.887596937246494</v>
      </c>
      <c r="BC129">
        <f t="shared" si="97"/>
        <v>0.90789291968590291</v>
      </c>
      <c r="BD129">
        <f t="shared" si="81"/>
        <v>-127.98156739274822</v>
      </c>
      <c r="BF129">
        <f t="shared" si="82"/>
        <v>-6.0307524278956768</v>
      </c>
      <c r="BG129">
        <f t="shared" si="83"/>
        <v>-117.49259969730063</v>
      </c>
      <c r="BH129">
        <f t="shared" si="98"/>
        <v>62.507400302699367</v>
      </c>
      <c r="BI129">
        <f t="shared" si="99"/>
        <v>62.507400302699367</v>
      </c>
      <c r="BJ129">
        <f t="shared" si="84"/>
        <v>0</v>
      </c>
      <c r="BK129">
        <f t="shared" si="100"/>
        <v>0</v>
      </c>
      <c r="BM129">
        <f t="shared" si="101"/>
        <v>-0.14315549064918315</v>
      </c>
      <c r="BN129">
        <f t="shared" si="85"/>
        <v>-169.5110323045524</v>
      </c>
      <c r="BQ129" s="56">
        <f t="shared" si="102"/>
        <v>11.014363863038643</v>
      </c>
      <c r="BR129" s="59"/>
      <c r="BS129" s="59"/>
      <c r="BT129" s="59">
        <v>1548.817</v>
      </c>
      <c r="BU129" s="59">
        <v>11.3354</v>
      </c>
      <c r="BV129" s="59">
        <v>-257.471</v>
      </c>
      <c r="BW129" s="61"/>
      <c r="BY129" s="59"/>
      <c r="BZ129" s="59"/>
      <c r="CA129" s="59"/>
      <c r="CC129" s="59"/>
    </row>
    <row r="130" spans="1:81" x14ac:dyDescent="0.2">
      <c r="A130">
        <f t="shared" si="106"/>
        <v>48000</v>
      </c>
      <c r="B130">
        <f t="shared" si="86"/>
        <v>48</v>
      </c>
      <c r="C130">
        <f t="shared" si="55"/>
        <v>1.0004546879991747</v>
      </c>
      <c r="D130">
        <f t="shared" si="56"/>
        <v>3.0150150304124917E-2</v>
      </c>
      <c r="F130">
        <f t="shared" si="57"/>
        <v>6.4116917076149527E-2</v>
      </c>
      <c r="G130">
        <f t="shared" si="58"/>
        <v>0.15144997804351978</v>
      </c>
      <c r="H130">
        <f t="shared" si="59"/>
        <v>-2.9901426719564803</v>
      </c>
      <c r="J130">
        <f t="shared" si="60"/>
        <v>15</v>
      </c>
      <c r="M130">
        <f t="shared" si="61"/>
        <v>1.6620190400350499E-2</v>
      </c>
      <c r="N130">
        <f t="shared" si="62"/>
        <v>-1.5707963250000001</v>
      </c>
      <c r="O130">
        <f t="shared" si="63"/>
        <v>5.5200073152698383</v>
      </c>
      <c r="P130">
        <f t="shared" si="64"/>
        <v>1.3886313202553722</v>
      </c>
      <c r="Q130">
        <f t="shared" si="65"/>
        <v>5.798922425488926</v>
      </c>
      <c r="R130">
        <f t="shared" si="66"/>
        <v>1.3974841647132825</v>
      </c>
      <c r="S130">
        <f t="shared" si="67"/>
        <v>0.99992868906515875</v>
      </c>
      <c r="T130">
        <f t="shared" si="68"/>
        <v>-1.1942510824692198E-2</v>
      </c>
      <c r="U130">
        <f t="shared" si="69"/>
        <v>0.96152260189027383</v>
      </c>
      <c r="V130">
        <f t="shared" si="70"/>
        <v>-0.27830455756905964</v>
      </c>
      <c r="X130">
        <f t="shared" si="87"/>
        <v>-6.1577442375377327</v>
      </c>
      <c r="Y130">
        <f t="shared" si="71"/>
        <v>-116.59235242161057</v>
      </c>
      <c r="Z130">
        <f t="shared" si="88"/>
        <v>63.40764757838943</v>
      </c>
      <c r="AC130">
        <v>1</v>
      </c>
      <c r="AD130">
        <f t="shared" si="72"/>
        <v>5.4286720991999999</v>
      </c>
      <c r="AE130">
        <f t="shared" si="73"/>
        <v>-1.6372489311462526E-3</v>
      </c>
      <c r="AF130">
        <f t="shared" si="74"/>
        <v>5.7302649935999997E-3</v>
      </c>
      <c r="AG130">
        <f t="shared" si="89"/>
        <v>829.76823079903841</v>
      </c>
      <c r="AH130">
        <f t="shared" si="90"/>
        <v>-411.59303306374807</v>
      </c>
      <c r="AJ130">
        <f t="shared" si="75"/>
        <v>10500</v>
      </c>
      <c r="AK130">
        <f t="shared" si="76"/>
        <v>125.40232549152002</v>
      </c>
      <c r="AL130">
        <v>1</v>
      </c>
      <c r="AM130">
        <f t="shared" si="77"/>
        <v>5.7120487827782407</v>
      </c>
      <c r="AN130">
        <f t="shared" si="91"/>
        <v>333.54557335890854</v>
      </c>
      <c r="AO130">
        <f t="shared" si="92"/>
        <v>-1779.8262608143036</v>
      </c>
      <c r="AQ130">
        <f t="shared" si="78"/>
        <v>1.0849517196484757</v>
      </c>
      <c r="AR130">
        <f t="shared" si="79"/>
        <v>-104.15536508625367</v>
      </c>
      <c r="AT130">
        <f t="shared" si="104"/>
        <v>-41969.364156798067</v>
      </c>
      <c r="AU130">
        <f t="shared" si="105"/>
        <v>-86871.371584866487</v>
      </c>
      <c r="AV130">
        <f t="shared" si="93"/>
        <v>-2.020849600972511</v>
      </c>
      <c r="AW130">
        <f t="shared" si="94"/>
        <v>-184081.15862201981</v>
      </c>
      <c r="AX130">
        <f t="shared" si="95"/>
        <v>-39670.069983209636</v>
      </c>
      <c r="AY130">
        <f t="shared" si="103"/>
        <v>-2.9293356215237885</v>
      </c>
      <c r="BA130">
        <f t="shared" si="80"/>
        <v>0.51234536500759364</v>
      </c>
      <c r="BB130">
        <f t="shared" si="96"/>
        <v>-5.8087437667125403</v>
      </c>
      <c r="BC130">
        <f t="shared" si="97"/>
        <v>0.90848602055127747</v>
      </c>
      <c r="BD130">
        <f t="shared" si="81"/>
        <v>-127.94758521629788</v>
      </c>
      <c r="BF130">
        <f t="shared" si="82"/>
        <v>-6.1435174720231789</v>
      </c>
      <c r="BG130">
        <f t="shared" si="83"/>
        <v>-117.54266429105439</v>
      </c>
      <c r="BH130">
        <f t="shared" si="98"/>
        <v>62.457335708945607</v>
      </c>
      <c r="BI130">
        <f t="shared" si="99"/>
        <v>62.457335708945607</v>
      </c>
      <c r="BJ130">
        <f t="shared" si="84"/>
        <v>0</v>
      </c>
      <c r="BK130">
        <f t="shared" si="100"/>
        <v>0</v>
      </c>
      <c r="BM130">
        <f t="shared" si="101"/>
        <v>-0.33477370531063833</v>
      </c>
      <c r="BN130">
        <f t="shared" si="85"/>
        <v>-169.59507907475654</v>
      </c>
      <c r="BQ130" s="56">
        <f t="shared" si="102"/>
        <v>11.093217033572596</v>
      </c>
      <c r="BR130" s="59"/>
      <c r="BS130" s="59"/>
      <c r="BT130" s="59">
        <v>1584.893</v>
      </c>
      <c r="BU130" s="59">
        <v>11.160399999999999</v>
      </c>
      <c r="BV130" s="59">
        <v>-256.94200000000001</v>
      </c>
      <c r="BW130" s="61"/>
      <c r="BY130" s="59"/>
      <c r="BZ130" s="59"/>
      <c r="CA130" s="59"/>
      <c r="CC130" s="59"/>
    </row>
    <row r="131" spans="1:81" x14ac:dyDescent="0.2">
      <c r="A131">
        <f t="shared" si="106"/>
        <v>48500</v>
      </c>
      <c r="B131">
        <f t="shared" si="86"/>
        <v>48.5</v>
      </c>
      <c r="C131">
        <f t="shared" si="55"/>
        <v>1.0004642077935504</v>
      </c>
      <c r="D131">
        <f t="shared" si="56"/>
        <v>3.0464021093486723E-2</v>
      </c>
      <c r="F131">
        <f t="shared" si="57"/>
        <v>6.2733166979123525E-2</v>
      </c>
      <c r="G131">
        <f t="shared" si="58"/>
        <v>0.1497119101017354</v>
      </c>
      <c r="H131">
        <f t="shared" si="59"/>
        <v>-2.991880739898265</v>
      </c>
      <c r="J131">
        <f t="shared" si="60"/>
        <v>15</v>
      </c>
      <c r="M131">
        <f t="shared" si="61"/>
        <v>1.644884823127472E-2</v>
      </c>
      <c r="N131">
        <f t="shared" si="62"/>
        <v>-1.5707963250000001</v>
      </c>
      <c r="O131">
        <f t="shared" si="63"/>
        <v>5.5756297278093188</v>
      </c>
      <c r="P131">
        <f t="shared" si="64"/>
        <v>1.3904686581968326</v>
      </c>
      <c r="Q131">
        <f t="shared" si="65"/>
        <v>5.8575405434072545</v>
      </c>
      <c r="R131">
        <f t="shared" si="66"/>
        <v>1.3992358589235134</v>
      </c>
      <c r="S131">
        <f t="shared" si="67"/>
        <v>0.99992719584603396</v>
      </c>
      <c r="T131">
        <f t="shared" si="68"/>
        <v>-1.2066899965663069E-2</v>
      </c>
      <c r="U131">
        <f t="shared" si="69"/>
        <v>0.96076362438221208</v>
      </c>
      <c r="V131">
        <f t="shared" si="70"/>
        <v>-0.28105400469779851</v>
      </c>
      <c r="X131">
        <f t="shared" si="87"/>
        <v>-6.2696063625925005</v>
      </c>
      <c r="Y131">
        <f t="shared" si="71"/>
        <v>-116.63297520212265</v>
      </c>
      <c r="Z131">
        <f t="shared" si="88"/>
        <v>63.367024797877349</v>
      </c>
      <c r="AC131">
        <v>1</v>
      </c>
      <c r="AD131">
        <f t="shared" si="72"/>
        <v>5.4852207669000004</v>
      </c>
      <c r="AE131">
        <f t="shared" si="73"/>
        <v>-1.6715359367572794E-3</v>
      </c>
      <c r="AF131">
        <f t="shared" si="74"/>
        <v>5.7899552539500002E-3</v>
      </c>
      <c r="AG131">
        <f t="shared" si="89"/>
        <v>828.45879331656033</v>
      </c>
      <c r="AH131">
        <f t="shared" si="90"/>
        <v>-411.88550525053785</v>
      </c>
      <c r="AJ131">
        <f t="shared" si="75"/>
        <v>10500</v>
      </c>
      <c r="AK131">
        <f t="shared" si="76"/>
        <v>126.70859971539001</v>
      </c>
      <c r="AL131">
        <v>1</v>
      </c>
      <c r="AM131">
        <f t="shared" si="77"/>
        <v>5.7715492909321808</v>
      </c>
      <c r="AN131">
        <f t="shared" si="91"/>
        <v>327.34040235322931</v>
      </c>
      <c r="AO131">
        <f t="shared" si="92"/>
        <v>-1762.5526673798454</v>
      </c>
      <c r="AQ131">
        <f t="shared" si="78"/>
        <v>1.0626992561105206</v>
      </c>
      <c r="AR131">
        <f t="shared" si="79"/>
        <v>-103.08182784272051</v>
      </c>
      <c r="AT131">
        <f t="shared" si="104"/>
        <v>-41577.508199772172</v>
      </c>
      <c r="AU131">
        <f t="shared" si="105"/>
        <v>-85836.757127478108</v>
      </c>
      <c r="AV131">
        <f t="shared" si="93"/>
        <v>-2.0218690869445157</v>
      </c>
      <c r="AW131">
        <f t="shared" si="94"/>
        <v>-180410.87795543013</v>
      </c>
      <c r="AX131">
        <f t="shared" si="95"/>
        <v>-38587.863093946296</v>
      </c>
      <c r="AY131">
        <f t="shared" si="103"/>
        <v>-2.9308788564168751</v>
      </c>
      <c r="BA131">
        <f t="shared" si="80"/>
        <v>0.51696855893738225</v>
      </c>
      <c r="BB131">
        <f t="shared" si="96"/>
        <v>-5.7307173816498818</v>
      </c>
      <c r="BC131">
        <f t="shared" si="97"/>
        <v>0.90900976947235934</v>
      </c>
      <c r="BD131">
        <f t="shared" si="81"/>
        <v>-127.91757661356107</v>
      </c>
      <c r="BF131">
        <f t="shared" si="82"/>
        <v>-6.2549168239973509</v>
      </c>
      <c r="BG131">
        <f t="shared" si="83"/>
        <v>-117.59425617443921</v>
      </c>
      <c r="BH131">
        <f t="shared" si="98"/>
        <v>62.405743825560791</v>
      </c>
      <c r="BI131">
        <f t="shared" si="99"/>
        <v>62.405743825560791</v>
      </c>
      <c r="BJ131">
        <f t="shared" si="84"/>
        <v>0</v>
      </c>
      <c r="BK131">
        <f t="shared" si="100"/>
        <v>0</v>
      </c>
      <c r="BM131">
        <f t="shared" si="101"/>
        <v>-0.52419944234746951</v>
      </c>
      <c r="BN131">
        <f t="shared" si="85"/>
        <v>-169.67667956087817</v>
      </c>
      <c r="BQ131" s="56">
        <f t="shared" si="102"/>
        <v>11.171243418635255</v>
      </c>
      <c r="BR131" s="59"/>
      <c r="BS131" s="59"/>
      <c r="BT131" s="59">
        <v>1621.81</v>
      </c>
      <c r="BU131" s="59">
        <v>10.9787</v>
      </c>
      <c r="BV131" s="59">
        <v>-256.75299999999999</v>
      </c>
      <c r="BW131" s="61"/>
      <c r="BY131" s="59"/>
      <c r="BZ131" s="59"/>
      <c r="CA131" s="59"/>
      <c r="CC131" s="59"/>
    </row>
    <row r="132" spans="1:81" x14ac:dyDescent="0.2">
      <c r="A132">
        <f t="shared" si="106"/>
        <v>49000</v>
      </c>
      <c r="B132">
        <f t="shared" si="86"/>
        <v>49</v>
      </c>
      <c r="C132">
        <f t="shared" si="55"/>
        <v>1.0004738261466486</v>
      </c>
      <c r="D132">
        <f t="shared" si="56"/>
        <v>3.0777885878787756E-2</v>
      </c>
      <c r="F132">
        <f t="shared" si="57"/>
        <v>6.1394406616295333E-2</v>
      </c>
      <c r="G132">
        <f t="shared" si="58"/>
        <v>0.14801497730390317</v>
      </c>
      <c r="H132">
        <f t="shared" si="59"/>
        <v>-2.9935776726960972</v>
      </c>
      <c r="J132">
        <f t="shared" si="60"/>
        <v>15</v>
      </c>
      <c r="M132">
        <f t="shared" si="61"/>
        <v>1.6281002841159676E-2</v>
      </c>
      <c r="N132">
        <f t="shared" si="62"/>
        <v>-1.5707963250000001</v>
      </c>
      <c r="O132">
        <f t="shared" si="63"/>
        <v>5.6312705907518605</v>
      </c>
      <c r="P132">
        <f t="shared" si="64"/>
        <v>1.3922696937696706</v>
      </c>
      <c r="Q132">
        <f t="shared" si="65"/>
        <v>5.9161762785960228</v>
      </c>
      <c r="R132">
        <f t="shared" si="66"/>
        <v>1.4009528359296217</v>
      </c>
      <c r="S132">
        <f t="shared" si="67"/>
        <v>0.9999256871599298</v>
      </c>
      <c r="T132">
        <f t="shared" si="68"/>
        <v>-1.2191288733202896E-2</v>
      </c>
      <c r="U132">
        <f t="shared" si="69"/>
        <v>0.95999860425012018</v>
      </c>
      <c r="V132">
        <f t="shared" si="70"/>
        <v>-0.28379909398673098</v>
      </c>
      <c r="X132">
        <f t="shared" si="87"/>
        <v>-6.3801444487990713</v>
      </c>
      <c r="Y132">
        <f t="shared" si="71"/>
        <v>-116.67506087106203</v>
      </c>
      <c r="Z132">
        <f t="shared" si="88"/>
        <v>63.32493912893797</v>
      </c>
      <c r="AC132">
        <v>1</v>
      </c>
      <c r="AD132">
        <f t="shared" si="72"/>
        <v>5.5417694346000008</v>
      </c>
      <c r="AE132">
        <f t="shared" si="73"/>
        <v>-1.7061782481259337E-3</v>
      </c>
      <c r="AF132">
        <f t="shared" si="74"/>
        <v>5.8496455142999998E-3</v>
      </c>
      <c r="AG132">
        <f t="shared" si="89"/>
        <v>827.13997709846501</v>
      </c>
      <c r="AH132">
        <f t="shared" si="90"/>
        <v>-412.20416368586172</v>
      </c>
      <c r="AJ132">
        <f t="shared" si="75"/>
        <v>10500</v>
      </c>
      <c r="AK132">
        <f t="shared" si="76"/>
        <v>128.01487393926001</v>
      </c>
      <c r="AL132">
        <v>1</v>
      </c>
      <c r="AM132">
        <f t="shared" si="77"/>
        <v>5.8310497990861201</v>
      </c>
      <c r="AN132">
        <f t="shared" si="91"/>
        <v>321.3169782364605</v>
      </c>
      <c r="AO132">
        <f t="shared" si="92"/>
        <v>-1745.6004274494119</v>
      </c>
      <c r="AQ132">
        <f t="shared" si="78"/>
        <v>1.0411244143675169</v>
      </c>
      <c r="AR132">
        <f t="shared" si="79"/>
        <v>-102.03019260801666</v>
      </c>
      <c r="AT132">
        <f t="shared" si="104"/>
        <v>-41196.114590438301</v>
      </c>
      <c r="AU132">
        <f t="shared" si="105"/>
        <v>-84822.406995664162</v>
      </c>
      <c r="AV132">
        <f t="shared" si="93"/>
        <v>-2.0229183263128991</v>
      </c>
      <c r="AW132">
        <f t="shared" si="94"/>
        <v>-176847.84474632534</v>
      </c>
      <c r="AX132">
        <f t="shared" si="95"/>
        <v>-37547.377038512997</v>
      </c>
      <c r="AY132">
        <f t="shared" si="103"/>
        <v>-2.932384669941412</v>
      </c>
      <c r="BA132">
        <f t="shared" si="80"/>
        <v>0.52158458491798321</v>
      </c>
      <c r="BB132">
        <f t="shared" si="96"/>
        <v>-5.6535050473626578</v>
      </c>
      <c r="BC132">
        <f t="shared" si="97"/>
        <v>0.90946634362851286</v>
      </c>
      <c r="BD132">
        <f t="shared" si="81"/>
        <v>-127.89141684134883</v>
      </c>
      <c r="BF132">
        <f t="shared" si="82"/>
        <v>-6.3649891150192488</v>
      </c>
      <c r="BG132">
        <f t="shared" si="83"/>
        <v>-117.64734036221512</v>
      </c>
      <c r="BH132">
        <f t="shared" si="98"/>
        <v>62.352659637784882</v>
      </c>
      <c r="BI132">
        <f t="shared" si="99"/>
        <v>62.352659637784882</v>
      </c>
      <c r="BJ132">
        <f t="shared" si="84"/>
        <v>0</v>
      </c>
      <c r="BK132">
        <f t="shared" si="100"/>
        <v>0</v>
      </c>
      <c r="BM132">
        <f t="shared" si="101"/>
        <v>-0.71148406765659078</v>
      </c>
      <c r="BN132">
        <f t="shared" si="85"/>
        <v>-169.75592352086628</v>
      </c>
      <c r="BQ132" s="56">
        <f t="shared" si="102"/>
        <v>11.24845575292248</v>
      </c>
      <c r="BR132" s="59"/>
      <c r="BS132" s="59"/>
      <c r="BT132" s="59">
        <v>1659.587</v>
      </c>
      <c r="BU132" s="59">
        <v>10.7578</v>
      </c>
      <c r="BV132" s="59">
        <v>-256.85699999999997</v>
      </c>
      <c r="BW132" s="61"/>
      <c r="BY132" s="59"/>
      <c r="BZ132" s="59"/>
      <c r="CA132" s="59"/>
      <c r="CC132" s="59"/>
    </row>
    <row r="133" spans="1:81" x14ac:dyDescent="0.2">
      <c r="A133">
        <f t="shared" si="106"/>
        <v>49500</v>
      </c>
      <c r="B133">
        <f t="shared" si="86"/>
        <v>49.5</v>
      </c>
      <c r="C133">
        <f t="shared" si="55"/>
        <v>1.0004835430556267</v>
      </c>
      <c r="D133">
        <f t="shared" si="56"/>
        <v>3.1091744598363748E-2</v>
      </c>
      <c r="F133">
        <f t="shared" si="57"/>
        <v>6.0098680335912091E-2</v>
      </c>
      <c r="G133">
        <f t="shared" si="58"/>
        <v>0.14635769049157421</v>
      </c>
      <c r="H133">
        <f t="shared" si="59"/>
        <v>-2.995234959508426</v>
      </c>
      <c r="J133">
        <f t="shared" si="60"/>
        <v>15</v>
      </c>
      <c r="M133">
        <f t="shared" si="61"/>
        <v>1.6116548267006547E-2</v>
      </c>
      <c r="N133">
        <f t="shared" si="62"/>
        <v>-1.5707963250000001</v>
      </c>
      <c r="O133">
        <f t="shared" si="63"/>
        <v>5.6869293625417816</v>
      </c>
      <c r="P133">
        <f t="shared" si="64"/>
        <v>1.3940354810038995</v>
      </c>
      <c r="Q133">
        <f t="shared" si="65"/>
        <v>5.9748291123785258</v>
      </c>
      <c r="R133">
        <f t="shared" si="66"/>
        <v>1.40263610787667</v>
      </c>
      <c r="S133">
        <f t="shared" si="67"/>
        <v>0.99992416300705622</v>
      </c>
      <c r="T133">
        <f t="shared" si="68"/>
        <v>-1.2315677123464151E-2</v>
      </c>
      <c r="U133">
        <f t="shared" si="69"/>
        <v>0.95922759046398975</v>
      </c>
      <c r="V133">
        <f t="shared" si="70"/>
        <v>-0.28653979451581102</v>
      </c>
      <c r="X133">
        <f t="shared" si="87"/>
        <v>-6.4893955044087726</v>
      </c>
      <c r="Y133">
        <f t="shared" si="71"/>
        <v>-116.71857459953573</v>
      </c>
      <c r="Z133">
        <f t="shared" si="88"/>
        <v>63.281425400464272</v>
      </c>
      <c r="AC133">
        <v>1</v>
      </c>
      <c r="AD133">
        <f t="shared" si="72"/>
        <v>5.5983181023000004</v>
      </c>
      <c r="AE133">
        <f t="shared" si="73"/>
        <v>-1.7411758652522156E-3</v>
      </c>
      <c r="AF133">
        <f t="shared" si="74"/>
        <v>5.9093357746500003E-3</v>
      </c>
      <c r="AG133">
        <f t="shared" si="89"/>
        <v>825.81189135618251</v>
      </c>
      <c r="AH133">
        <f t="shared" si="90"/>
        <v>-412.54784419693283</v>
      </c>
      <c r="AJ133">
        <f t="shared" si="75"/>
        <v>10500</v>
      </c>
      <c r="AK133">
        <f t="shared" si="76"/>
        <v>129.32114816313</v>
      </c>
      <c r="AL133">
        <v>1</v>
      </c>
      <c r="AM133">
        <f t="shared" si="77"/>
        <v>5.8905503072400611</v>
      </c>
      <c r="AN133">
        <f t="shared" si="91"/>
        <v>315.46834095940869</v>
      </c>
      <c r="AO133">
        <f t="shared" si="92"/>
        <v>-1728.9609845998273</v>
      </c>
      <c r="AQ133">
        <f t="shared" si="78"/>
        <v>1.0201999591920017</v>
      </c>
      <c r="AR133">
        <f t="shared" si="79"/>
        <v>-100.99979596000816</v>
      </c>
      <c r="AT133">
        <f t="shared" si="104"/>
        <v>-40824.754829769605</v>
      </c>
      <c r="AU133">
        <f t="shared" si="105"/>
        <v>-83827.713822137317</v>
      </c>
      <c r="AV133">
        <f t="shared" si="93"/>
        <v>-2.0239963005163828</v>
      </c>
      <c r="AW133">
        <f t="shared" si="94"/>
        <v>-173387.96645630189</v>
      </c>
      <c r="AX133">
        <f t="shared" si="95"/>
        <v>-36546.603985846938</v>
      </c>
      <c r="AY133">
        <f t="shared" si="103"/>
        <v>-2.9338541379842837</v>
      </c>
      <c r="BA133">
        <f t="shared" si="80"/>
        <v>0.52619326601520211</v>
      </c>
      <c r="BB133">
        <f t="shared" si="96"/>
        <v>-5.5770942824047323</v>
      </c>
      <c r="BC133">
        <f t="shared" si="97"/>
        <v>0.90985783746790094</v>
      </c>
      <c r="BD133">
        <f t="shared" si="81"/>
        <v>-127.8689858966209</v>
      </c>
      <c r="BF133">
        <f t="shared" si="82"/>
        <v>-6.473771399899432</v>
      </c>
      <c r="BG133">
        <f t="shared" si="83"/>
        <v>-117.70188217736917</v>
      </c>
      <c r="BH133">
        <f t="shared" si="98"/>
        <v>62.298117822630829</v>
      </c>
      <c r="BI133">
        <f t="shared" si="99"/>
        <v>62.298117822630829</v>
      </c>
      <c r="BJ133">
        <f t="shared" si="84"/>
        <v>0</v>
      </c>
      <c r="BK133">
        <f t="shared" si="100"/>
        <v>0</v>
      </c>
      <c r="BM133">
        <f t="shared" si="101"/>
        <v>-0.89667711749470014</v>
      </c>
      <c r="BN133">
        <f t="shared" si="85"/>
        <v>-169.83289628074826</v>
      </c>
      <c r="BQ133" s="56">
        <f t="shared" si="102"/>
        <v>11.324866517880405</v>
      </c>
      <c r="BR133" s="59"/>
      <c r="BS133" s="59"/>
      <c r="BT133" s="59">
        <v>1698.2439999999999</v>
      </c>
      <c r="BU133" s="59">
        <v>10.580500000000001</v>
      </c>
      <c r="BV133" s="59">
        <v>-256.31299999999999</v>
      </c>
      <c r="BW133" s="61"/>
      <c r="BY133" s="59"/>
      <c r="BZ133" s="59"/>
      <c r="CA133" s="59"/>
      <c r="CC133" s="59"/>
    </row>
    <row r="134" spans="1:81" x14ac:dyDescent="0.2">
      <c r="A134">
        <f t="shared" si="106"/>
        <v>50000</v>
      </c>
      <c r="B134">
        <f t="shared" si="86"/>
        <v>50</v>
      </c>
      <c r="C134">
        <f t="shared" si="55"/>
        <v>1.0004933585176132</v>
      </c>
      <c r="D134">
        <f t="shared" si="56"/>
        <v>3.1405597190557598E-2</v>
      </c>
      <c r="F134">
        <f t="shared" si="57"/>
        <v>5.8844138854857224E-2</v>
      </c>
      <c r="G134">
        <f t="shared" si="58"/>
        <v>0.14473863307632601</v>
      </c>
      <c r="H134">
        <f t="shared" si="59"/>
        <v>-2.9968540169236744</v>
      </c>
      <c r="J134">
        <f t="shared" si="60"/>
        <v>15</v>
      </c>
      <c r="M134">
        <f t="shared" si="61"/>
        <v>1.5955382784336482E-2</v>
      </c>
      <c r="N134">
        <f t="shared" si="62"/>
        <v>-1.5707963250000001</v>
      </c>
      <c r="O134">
        <f t="shared" si="63"/>
        <v>5.742605522447997</v>
      </c>
      <c r="P134">
        <f t="shared" si="64"/>
        <v>1.3957670339521815</v>
      </c>
      <c r="Q134">
        <f t="shared" si="65"/>
        <v>6.0334985460983424</v>
      </c>
      <c r="R134">
        <f t="shared" si="66"/>
        <v>1.4042866483228726</v>
      </c>
      <c r="S134">
        <f t="shared" si="67"/>
        <v>0.99992262338762561</v>
      </c>
      <c r="T134">
        <f t="shared" si="68"/>
        <v>-1.2440065132599378E-2</v>
      </c>
      <c r="U134">
        <f t="shared" si="69"/>
        <v>0.95845063215946891</v>
      </c>
      <c r="V134">
        <f t="shared" si="70"/>
        <v>-0.28927607572750264</v>
      </c>
      <c r="X134">
        <f t="shared" si="87"/>
        <v>-6.5973950439440294</v>
      </c>
      <c r="Y134">
        <f t="shared" si="71"/>
        <v>-116.76348192286152</v>
      </c>
      <c r="Z134">
        <f t="shared" si="88"/>
        <v>63.236518077138484</v>
      </c>
      <c r="AC134">
        <v>1</v>
      </c>
      <c r="AD134">
        <f t="shared" si="72"/>
        <v>5.6548667700000008</v>
      </c>
      <c r="AE134">
        <f t="shared" si="73"/>
        <v>-1.7765287881361246E-3</v>
      </c>
      <c r="AF134">
        <f t="shared" si="74"/>
        <v>5.969026035E-3</v>
      </c>
      <c r="AG134">
        <f t="shared" si="89"/>
        <v>824.47464550955942</v>
      </c>
      <c r="AH134">
        <f t="shared" si="90"/>
        <v>-412.915428477614</v>
      </c>
      <c r="AJ134">
        <f t="shared" si="75"/>
        <v>10500</v>
      </c>
      <c r="AK134">
        <f t="shared" si="76"/>
        <v>130.62742238700002</v>
      </c>
      <c r="AL134">
        <v>1</v>
      </c>
      <c r="AM134">
        <f t="shared" si="77"/>
        <v>5.9500508153940004</v>
      </c>
      <c r="AN134">
        <f t="shared" si="91"/>
        <v>309.78785716864581</v>
      </c>
      <c r="AO134">
        <f t="shared" si="92"/>
        <v>-1712.6260697584612</v>
      </c>
      <c r="AQ134">
        <f t="shared" si="78"/>
        <v>0.99990000999900008</v>
      </c>
      <c r="AR134">
        <f t="shared" si="79"/>
        <v>-99.990000999900005</v>
      </c>
      <c r="AT134">
        <f t="shared" si="104"/>
        <v>-40463.021900061831</v>
      </c>
      <c r="AU134">
        <f t="shared" si="105"/>
        <v>-82852.094769956559</v>
      </c>
      <c r="AV134">
        <f t="shared" si="93"/>
        <v>-2.0251020286784494</v>
      </c>
      <c r="AW134">
        <f t="shared" si="94"/>
        <v>-170027.34179029166</v>
      </c>
      <c r="AX134">
        <f t="shared" si="95"/>
        <v>-35583.650949329131</v>
      </c>
      <c r="AY134">
        <f t="shared" si="103"/>
        <v>-2.9352882952591086</v>
      </c>
      <c r="BA134">
        <f t="shared" si="80"/>
        <v>0.53079443052715114</v>
      </c>
      <c r="BB134">
        <f t="shared" si="96"/>
        <v>-5.5014728542083784</v>
      </c>
      <c r="BC134">
        <f t="shared" si="97"/>
        <v>0.91018626658065926</v>
      </c>
      <c r="BD134">
        <f t="shared" si="81"/>
        <v>-127.8501682945691</v>
      </c>
      <c r="BF134">
        <f t="shared" si="82"/>
        <v>-6.5812992398242676</v>
      </c>
      <c r="BG134">
        <f t="shared" si="83"/>
        <v>-117.75784730316397</v>
      </c>
      <c r="BH134">
        <f t="shared" si="98"/>
        <v>62.24215269683603</v>
      </c>
      <c r="BI134">
        <f t="shared" si="99"/>
        <v>62.24215269683603</v>
      </c>
      <c r="BJ134">
        <f t="shared" si="84"/>
        <v>0</v>
      </c>
      <c r="BK134">
        <f t="shared" si="100"/>
        <v>0</v>
      </c>
      <c r="BM134">
        <f t="shared" si="101"/>
        <v>-1.0798263856158887</v>
      </c>
      <c r="BN134">
        <f t="shared" si="85"/>
        <v>-169.90767900859487</v>
      </c>
      <c r="BQ134" s="56">
        <f t="shared" si="102"/>
        <v>11.400487946076758</v>
      </c>
      <c r="BR134" s="59"/>
      <c r="BS134" s="59"/>
      <c r="BT134" s="59">
        <v>1737.8009999999999</v>
      </c>
      <c r="BU134" s="59">
        <v>10.4643</v>
      </c>
      <c r="BV134" s="59">
        <v>-256.37900000000002</v>
      </c>
      <c r="BW134" s="61"/>
      <c r="BY134" s="59"/>
      <c r="BZ134" s="59"/>
      <c r="CA134" s="59"/>
      <c r="CC134" s="59"/>
    </row>
    <row r="135" spans="1:81" x14ac:dyDescent="0.2">
      <c r="A135">
        <f t="shared" si="106"/>
        <v>50500</v>
      </c>
      <c r="B135">
        <f t="shared" si="86"/>
        <v>50.5</v>
      </c>
      <c r="C135">
        <f t="shared" si="55"/>
        <v>1.0005032725297076</v>
      </c>
      <c r="D135">
        <f t="shared" si="56"/>
        <v>3.1719443593719428E-2</v>
      </c>
      <c r="F135">
        <f t="shared" si="57"/>
        <v>5.762903232128308E-2</v>
      </c>
      <c r="G135">
        <f t="shared" si="58"/>
        <v>0.14315645661140872</v>
      </c>
      <c r="H135">
        <f t="shared" si="59"/>
        <v>-2.9984361933885917</v>
      </c>
      <c r="J135">
        <f t="shared" si="60"/>
        <v>15</v>
      </c>
      <c r="M135">
        <f t="shared" si="61"/>
        <v>1.579740869736285E-2</v>
      </c>
      <c r="N135">
        <f t="shared" si="62"/>
        <v>-1.5707963250000001</v>
      </c>
      <c r="O135">
        <f t="shared" si="63"/>
        <v>5.7982985695803801</v>
      </c>
      <c r="P135">
        <f t="shared" si="64"/>
        <v>1.397465328546535</v>
      </c>
      <c r="Q135">
        <f t="shared" si="65"/>
        <v>6.0921841001693959</v>
      </c>
      <c r="R135">
        <f t="shared" si="66"/>
        <v>1.4059053940429842</v>
      </c>
      <c r="S135">
        <f t="shared" si="67"/>
        <v>0.99992106830185212</v>
      </c>
      <c r="T135">
        <f t="shared" si="68"/>
        <v>-1.2564452756761187E-2</v>
      </c>
      <c r="U135">
        <f t="shared" si="69"/>
        <v>0.9576677786302783</v>
      </c>
      <c r="V135">
        <f t="shared" si="70"/>
        <v>-0.29200790742743815</v>
      </c>
      <c r="X135">
        <f t="shared" si="87"/>
        <v>-6.7041771657130909</v>
      </c>
      <c r="Y135">
        <f t="shared" si="71"/>
        <v>-116.80974878462339</v>
      </c>
      <c r="Z135">
        <f t="shared" si="88"/>
        <v>63.190251215376605</v>
      </c>
      <c r="AC135">
        <v>1</v>
      </c>
      <c r="AD135">
        <f t="shared" si="72"/>
        <v>5.7114154377000004</v>
      </c>
      <c r="AE135">
        <f t="shared" si="73"/>
        <v>-1.8122370167776608E-3</v>
      </c>
      <c r="AF135">
        <f t="shared" si="74"/>
        <v>6.0287162953499996E-3</v>
      </c>
      <c r="AG135">
        <f t="shared" si="89"/>
        <v>823.12834916741053</v>
      </c>
      <c r="AH135">
        <f t="shared" si="90"/>
        <v>-413.3058418824819</v>
      </c>
      <c r="AJ135">
        <f t="shared" si="75"/>
        <v>10500</v>
      </c>
      <c r="AK135">
        <f t="shared" si="76"/>
        <v>131.93369661087002</v>
      </c>
      <c r="AL135">
        <v>1</v>
      </c>
      <c r="AM135">
        <f t="shared" si="77"/>
        <v>6.0095513235479405</v>
      </c>
      <c r="AN135">
        <f t="shared" si="91"/>
        <v>304.26920216587592</v>
      </c>
      <c r="AO135">
        <f t="shared" si="92"/>
        <v>-1696.5876899799455</v>
      </c>
      <c r="AQ135">
        <f t="shared" si="78"/>
        <v>0.98019996079200156</v>
      </c>
      <c r="AR135">
        <f t="shared" si="79"/>
        <v>-99.000196039992161</v>
      </c>
      <c r="AT135">
        <f t="shared" si="104"/>
        <v>-40110.528995259032</v>
      </c>
      <c r="AU135">
        <f t="shared" si="105"/>
        <v>-81894.990303657076</v>
      </c>
      <c r="AV135">
        <f t="shared" si="93"/>
        <v>-2.0262345658827075</v>
      </c>
      <c r="AW135">
        <f t="shared" si="94"/>
        <v>-166762.25019441222</v>
      </c>
      <c r="AX135">
        <f t="shared" si="95"/>
        <v>-34656.732214030199</v>
      </c>
      <c r="AY135">
        <f t="shared" si="103"/>
        <v>-2.9366881372408131</v>
      </c>
      <c r="BA135">
        <f t="shared" si="80"/>
        <v>0.53538791177572131</v>
      </c>
      <c r="BB135">
        <f t="shared" si="96"/>
        <v>-5.4266287746128956</v>
      </c>
      <c r="BC135">
        <f t="shared" si="97"/>
        <v>0.91045357135810567</v>
      </c>
      <c r="BD135">
        <f t="shared" si="81"/>
        <v>-127.83485285896025</v>
      </c>
      <c r="BF135">
        <f t="shared" si="82"/>
        <v>-6.6876067798624987</v>
      </c>
      <c r="BG135">
        <f t="shared" si="83"/>
        <v>-117.81520182720632</v>
      </c>
      <c r="BH135">
        <f t="shared" si="98"/>
        <v>62.184798172793677</v>
      </c>
      <c r="BI135">
        <f t="shared" si="99"/>
        <v>62.184798172793677</v>
      </c>
      <c r="BJ135">
        <f t="shared" si="84"/>
        <v>0</v>
      </c>
      <c r="BK135">
        <f t="shared" si="100"/>
        <v>0</v>
      </c>
      <c r="BM135">
        <f t="shared" si="101"/>
        <v>-1.2609780052496018</v>
      </c>
      <c r="BN135">
        <f t="shared" si="85"/>
        <v>-169.98034896824609</v>
      </c>
      <c r="BQ135" s="56">
        <f t="shared" si="102"/>
        <v>11.475332025672241</v>
      </c>
      <c r="BR135" s="59"/>
      <c r="BS135" s="59"/>
      <c r="BT135" s="59">
        <v>1778.279</v>
      </c>
      <c r="BU135" s="59">
        <v>10.213699999999999</v>
      </c>
      <c r="BV135" s="59">
        <v>-256.01499999999999</v>
      </c>
      <c r="BW135" s="61"/>
      <c r="BY135" s="59"/>
      <c r="BZ135" s="59"/>
      <c r="CA135" s="59"/>
      <c r="CC135" s="59"/>
    </row>
    <row r="136" spans="1:81" x14ac:dyDescent="0.2">
      <c r="A136">
        <f t="shared" si="106"/>
        <v>51000</v>
      </c>
      <c r="B136">
        <f t="shared" si="86"/>
        <v>51</v>
      </c>
      <c r="C136">
        <f t="shared" si="55"/>
        <v>1.00051328508898</v>
      </c>
      <c r="D136">
        <f t="shared" si="56"/>
        <v>3.2033283746206682E-2</v>
      </c>
      <c r="F136">
        <f t="shared" si="57"/>
        <v>5.6451703903834659E-2</v>
      </c>
      <c r="G136">
        <f t="shared" si="58"/>
        <v>0.1416098766864238</v>
      </c>
      <c r="H136">
        <f t="shared" si="59"/>
        <v>-2.9999827733135764</v>
      </c>
      <c r="J136">
        <f t="shared" si="60"/>
        <v>15</v>
      </c>
      <c r="M136">
        <f t="shared" si="61"/>
        <v>1.5642532141506352E-2</v>
      </c>
      <c r="N136">
        <f t="shared" si="62"/>
        <v>-1.5707963250000001</v>
      </c>
      <c r="O136">
        <f t="shared" si="63"/>
        <v>5.8540080219609214</v>
      </c>
      <c r="P136">
        <f t="shared" si="64"/>
        <v>1.3991313043537017</v>
      </c>
      <c r="Q136">
        <f t="shared" si="65"/>
        <v>6.1508853131792289</v>
      </c>
      <c r="R136">
        <f t="shared" si="66"/>
        <v>1.4074932467325181</v>
      </c>
      <c r="S136">
        <f t="shared" si="67"/>
        <v>0.99991949774995248</v>
      </c>
      <c r="T136">
        <f t="shared" si="68"/>
        <v>-1.2688839992102264E-2</v>
      </c>
      <c r="U136">
        <f t="shared" si="69"/>
        <v>0.95687907932066352</v>
      </c>
      <c r="V136">
        <f t="shared" si="70"/>
        <v>-0.29473525978501341</v>
      </c>
      <c r="X136">
        <f t="shared" si="87"/>
        <v>-6.8097746244531701</v>
      </c>
      <c r="Y136">
        <f t="shared" si="71"/>
        <v>-116.85734157370392</v>
      </c>
      <c r="Z136">
        <f t="shared" si="88"/>
        <v>63.14265842629608</v>
      </c>
      <c r="AC136">
        <v>1</v>
      </c>
      <c r="AD136">
        <f t="shared" si="72"/>
        <v>5.7679641054000008</v>
      </c>
      <c r="AE136">
        <f t="shared" si="73"/>
        <v>-1.848300551176824E-3</v>
      </c>
      <c r="AF136">
        <f t="shared" si="74"/>
        <v>6.0884065557000001E-3</v>
      </c>
      <c r="AG136">
        <f t="shared" si="89"/>
        <v>821.77311210821529</v>
      </c>
      <c r="AH136">
        <f t="shared" si="90"/>
        <v>-413.71805135018707</v>
      </c>
      <c r="AJ136">
        <f t="shared" si="75"/>
        <v>10500</v>
      </c>
      <c r="AK136">
        <f t="shared" si="76"/>
        <v>133.23997083474001</v>
      </c>
      <c r="AL136">
        <v>1</v>
      </c>
      <c r="AM136">
        <f t="shared" si="77"/>
        <v>6.0690518317018807</v>
      </c>
      <c r="AN136">
        <f t="shared" si="91"/>
        <v>298.90634300637373</v>
      </c>
      <c r="AO136">
        <f t="shared" si="92"/>
        <v>-1680.8381176954028</v>
      </c>
      <c r="AQ136">
        <f t="shared" si="78"/>
        <v>0.96107640557424312</v>
      </c>
      <c r="AR136">
        <f t="shared" si="79"/>
        <v>-98.029793368572797</v>
      </c>
      <c r="AT136">
        <f t="shared" si="104"/>
        <v>-39766.908337924906</v>
      </c>
      <c r="AU136">
        <f t="shared" si="105"/>
        <v>-80955.863033530171</v>
      </c>
      <c r="AV136">
        <f t="shared" si="93"/>
        <v>-2.0273930015418089</v>
      </c>
      <c r="AW136">
        <f t="shared" si="94"/>
        <v>-163589.14201233009</v>
      </c>
      <c r="AX136">
        <f t="shared" si="95"/>
        <v>-33764.162327369762</v>
      </c>
      <c r="AY136">
        <f t="shared" si="103"/>
        <v>-2.938054621993301</v>
      </c>
      <c r="BA136">
        <f t="shared" si="80"/>
        <v>0.5399735479102008</v>
      </c>
      <c r="BB136">
        <f t="shared" si="96"/>
        <v>-5.3525502953189843</v>
      </c>
      <c r="BC136">
        <f t="shared" si="97"/>
        <v>0.91066162045149213</v>
      </c>
      <c r="BD136">
        <f t="shared" si="81"/>
        <v>-127.82293252396406</v>
      </c>
      <c r="BF136">
        <f t="shared" si="82"/>
        <v>-6.7927268216004197</v>
      </c>
      <c r="BG136">
        <f t="shared" si="83"/>
        <v>-117.87391227849285</v>
      </c>
      <c r="BH136">
        <f t="shared" si="98"/>
        <v>62.126087721507147</v>
      </c>
      <c r="BI136">
        <f t="shared" si="99"/>
        <v>62.126087721507147</v>
      </c>
      <c r="BJ136">
        <f t="shared" si="84"/>
        <v>0</v>
      </c>
      <c r="BK136">
        <f t="shared" si="100"/>
        <v>0</v>
      </c>
      <c r="BM136">
        <f t="shared" si="101"/>
        <v>-1.4401765262814363</v>
      </c>
      <c r="BN136">
        <f t="shared" si="85"/>
        <v>-170.05097975452878</v>
      </c>
      <c r="BQ136" s="56">
        <f t="shared" si="102"/>
        <v>11.549410504966154</v>
      </c>
      <c r="BR136" s="59"/>
      <c r="BS136" s="59"/>
      <c r="BT136" s="59">
        <v>1819.701</v>
      </c>
      <c r="BU136" s="59">
        <v>10.045199999999999</v>
      </c>
      <c r="BV136" s="59">
        <v>-255.833</v>
      </c>
      <c r="BW136" s="61"/>
      <c r="BY136" s="59"/>
      <c r="BZ136" s="59"/>
      <c r="CA136" s="59"/>
      <c r="CC136" s="59"/>
    </row>
    <row r="137" spans="1:81" x14ac:dyDescent="0.2">
      <c r="A137">
        <f t="shared" si="106"/>
        <v>51500</v>
      </c>
      <c r="B137">
        <f t="shared" si="86"/>
        <v>51.5</v>
      </c>
      <c r="C137">
        <f t="shared" ref="C137:C200" si="107">SQRT((A137/Fesr)^2+1)</f>
        <v>1.0005233961924722</v>
      </c>
      <c r="D137">
        <f t="shared" ref="D137:D200" si="108">ATAN(A137/Fesr)</f>
        <v>3.2347117586384179E-2</v>
      </c>
      <c r="F137">
        <f t="shared" ref="F137:F200" si="109">(Ro/(Ro+Rdcr))/SQRT((A137/(Q*Fo))^2+(1-(A137^2/Fo^2))^2)</f>
        <v>5.5310583861963594E-2</v>
      </c>
      <c r="G137">
        <f t="shared" ref="G137:G200" si="110">-ATAN(A137*Fo/(Q*(Fo^2-A137^2)))</f>
        <v>0.14009766911775223</v>
      </c>
      <c r="H137">
        <f t="shared" ref="H137:H200" si="111">IF(G137&gt;0,G137-Pi,G137)</f>
        <v>-3.001494980882248</v>
      </c>
      <c r="J137">
        <f t="shared" ref="J137:J200" si="112">Vin/Vramp</f>
        <v>15</v>
      </c>
      <c r="M137">
        <f t="shared" ref="M137:M200" si="113">1/(2*Pi*_Rfb1*(Cc1ea_u+Cc2ea_u)*A137)</f>
        <v>1.549066289741406E-2</v>
      </c>
      <c r="N137">
        <f t="shared" ref="N137:N200" si="114">-Pi/2</f>
        <v>-1.5707963250000001</v>
      </c>
      <c r="O137">
        <f t="shared" ref="O137:O200" si="115">SQRT(1+(A137/Fz1_u)^2)</f>
        <v>5.909733415646178</v>
      </c>
      <c r="P137">
        <f t="shared" ref="P137:P200" si="116">ATAN2(Fz1_u,A137)</f>
        <v>1.400765866235486</v>
      </c>
      <c r="Q137">
        <f t="shared" ref="Q137:Q200" si="117">SQRT(1+(A137/Fz2_u)^2)</f>
        <v>6.2096017410420332</v>
      </c>
      <c r="R137">
        <f t="shared" ref="R137:R200" si="118">ATAN2(Fz2_u,A137)</f>
        <v>1.4090510746190279</v>
      </c>
      <c r="S137">
        <f t="shared" ref="S137:S200" si="119">1/SQRT(1+(A137/Fp1_u)^2)</f>
        <v>0.9999179117321455</v>
      </c>
      <c r="T137">
        <f t="shared" ref="T137:T200" si="120">-ATAN2(Fp1_u,A137)</f>
        <v>-1.2813226834775367E-2</v>
      </c>
      <c r="U137">
        <f t="shared" ref="U137:U200" si="121">1/SQRT(1+(A137/Fp2_u)^2)</f>
        <v>0.95608458381788386</v>
      </c>
      <c r="V137">
        <f t="shared" ref="V137:V200" si="122">-ATAN2(Fp2_u,A137)</f>
        <v>-0.29745810333391809</v>
      </c>
      <c r="X137">
        <f t="shared" si="87"/>
        <v>-6.9142188994580724</v>
      </c>
      <c r="Y137">
        <f t="shared" ref="Y137:Y200" si="123">(180/Pi)*(D137+H137+N137+P137+R137+T137+V137)</f>
        <v>-116.90622715513665</v>
      </c>
      <c r="Z137">
        <f t="shared" si="88"/>
        <v>63.093772844863352</v>
      </c>
      <c r="AC137">
        <v>1</v>
      </c>
      <c r="AD137">
        <f t="shared" ref="AD137:AD200" si="124">Rcea1_u*Cc1ea_u*A137*2*Pi</f>
        <v>5.8245127731000004</v>
      </c>
      <c r="AE137">
        <f t="shared" ref="AE137:AE200" si="125">-Rcea1_u*Cc1ea_u*Cc2ea_u*(A137*2*Pi)^2</f>
        <v>-1.8847193913336146E-3</v>
      </c>
      <c r="AF137">
        <f t="shared" ref="AF137:AF200" si="126">(Cc2ea_u+Cc1ea_u)*A137*2*Pi</f>
        <v>6.1480968160500006E-3</v>
      </c>
      <c r="AG137">
        <f t="shared" si="89"/>
        <v>820.40904426095858</v>
      </c>
      <c r="AH137">
        <f t="shared" si="90"/>
        <v>-414.15106344730646</v>
      </c>
      <c r="AJ137">
        <f t="shared" ref="AJ137:AJ200" si="127">_Rfb1</f>
        <v>10500</v>
      </c>
      <c r="AK137">
        <f t="shared" ref="AK137:AK200" si="128">_Rfb1*Rcea2_u*Cc3ea_u*A137*2*Pi</f>
        <v>134.54624505861003</v>
      </c>
      <c r="AL137">
        <v>1</v>
      </c>
      <c r="AM137">
        <f t="shared" ref="AM137:AM200" si="129">(_Rfb1+Rcea2_u)*Cc3ea_u*A137*2*Pi</f>
        <v>6.1285523398558208</v>
      </c>
      <c r="AN137">
        <f t="shared" si="91"/>
        <v>293.69352265598184</v>
      </c>
      <c r="AO137">
        <f t="shared" si="92"/>
        <v>-1665.3698804152059</v>
      </c>
      <c r="AQ137">
        <f t="shared" ref="AQ137:AQ200" si="130">Eadcg/(1+(Eadcg*A137/GBP)^2)</f>
        <v>0.94250706880301605</v>
      </c>
      <c r="AR137">
        <f t="shared" ref="AR137:AR200" si="131">-(A137*Eadcg*Eadcg/GBP)/(1+(Eadcg*A137/GBP)^2)</f>
        <v>-97.078228086710652</v>
      </c>
      <c r="AT137">
        <f t="shared" si="104"/>
        <v>-39431.810076165515</v>
      </c>
      <c r="AU137">
        <f t="shared" si="105"/>
        <v>-80034.196628017002</v>
      </c>
      <c r="AV137">
        <f t="shared" si="93"/>
        <v>-2.0285764578541166</v>
      </c>
      <c r="AW137">
        <f t="shared" si="94"/>
        <v>-160504.62925399316</v>
      </c>
      <c r="AX137">
        <f t="shared" si="95"/>
        <v>-32904.349606646399</v>
      </c>
      <c r="AY137">
        <f t="shared" si="103"/>
        <v>-2.9393886718969755</v>
      </c>
      <c r="BA137">
        <f t="shared" ref="BA137:BA200" si="132">SQRT(AT137^2+AU137^2)/SQRT(AW137^2+AX137^2)</f>
        <v>0.54455118172220429</v>
      </c>
      <c r="BB137">
        <f t="shared" si="96"/>
        <v>-5.2792259032915432</v>
      </c>
      <c r="BC137">
        <f t="shared" si="97"/>
        <v>0.91081221404285895</v>
      </c>
      <c r="BD137">
        <f t="shared" ref="BD137:BD200" si="133">BC137*180/Pi-180</f>
        <v>-127.81430414674716</v>
      </c>
      <c r="BF137">
        <f t="shared" ref="BF137:BF200" si="134">20*LOG(BA137*J137*F137*C137)</f>
        <v>-6.896690891261442</v>
      </c>
      <c r="BG137">
        <f t="shared" ref="BG137:BG200" si="135">(180/Pi)*(D137+H137+BC137)</f>
        <v>-117.93394565827649</v>
      </c>
      <c r="BH137">
        <f t="shared" si="98"/>
        <v>62.066054341723515</v>
      </c>
      <c r="BI137">
        <f t="shared" si="99"/>
        <v>62.066054341723515</v>
      </c>
      <c r="BJ137">
        <f t="shared" ref="BJ137:BJ200" si="136">SUM((BF138&lt;0)*(BF137&gt;0))*A137</f>
        <v>0</v>
      </c>
      <c r="BK137">
        <f t="shared" si="100"/>
        <v>0</v>
      </c>
      <c r="BM137">
        <f t="shared" si="101"/>
        <v>-1.6174649879698997</v>
      </c>
      <c r="BN137">
        <f t="shared" ref="BN137:BN200" si="137">(H137+D137)*180/Pi</f>
        <v>-170.11964151152932</v>
      </c>
      <c r="BQ137" s="56">
        <f t="shared" si="102"/>
        <v>11.622734896993594</v>
      </c>
      <c r="BR137" s="59"/>
      <c r="BS137" s="59"/>
      <c r="BT137" s="59">
        <v>1862.087</v>
      </c>
      <c r="BU137" s="59">
        <v>9.8767200000000006</v>
      </c>
      <c r="BV137" s="59">
        <v>-255.47</v>
      </c>
      <c r="BW137" s="61"/>
      <c r="BY137" s="59"/>
      <c r="BZ137" s="59"/>
      <c r="CA137" s="59"/>
      <c r="CC137" s="59"/>
    </row>
    <row r="138" spans="1:81" x14ac:dyDescent="0.2">
      <c r="A138">
        <f t="shared" si="106"/>
        <v>52000</v>
      </c>
      <c r="B138">
        <f t="shared" ref="B138:B201" si="138">A138/1000</f>
        <v>52</v>
      </c>
      <c r="C138">
        <f t="shared" si="107"/>
        <v>1.0005336058371963</v>
      </c>
      <c r="D138">
        <f t="shared" si="108"/>
        <v>3.266094505262418E-2</v>
      </c>
      <c r="F138">
        <f t="shared" si="109"/>
        <v>5.4204184056230391E-2</v>
      </c>
      <c r="G138">
        <f t="shared" si="110"/>
        <v>0.1386186664100541</v>
      </c>
      <c r="H138">
        <f t="shared" si="111"/>
        <v>-3.0029739835899463</v>
      </c>
      <c r="J138">
        <f t="shared" si="112"/>
        <v>15</v>
      </c>
      <c r="M138">
        <f t="shared" si="113"/>
        <v>1.5341714215708156E-2</v>
      </c>
      <c r="N138">
        <f t="shared" si="114"/>
        <v>-1.5707963250000001</v>
      </c>
      <c r="O138">
        <f t="shared" si="115"/>
        <v>5.9654743038977696</v>
      </c>
      <c r="P138">
        <f t="shared" si="116"/>
        <v>1.4023698859199494</v>
      </c>
      <c r="Q138">
        <f t="shared" si="117"/>
        <v>6.2683329561982983</v>
      </c>
      <c r="R138">
        <f t="shared" si="118"/>
        <v>1.4105797139862535</v>
      </c>
      <c r="S138">
        <f t="shared" si="119"/>
        <v>0.99991631024865169</v>
      </c>
      <c r="T138">
        <f t="shared" si="120"/>
        <v>-1.2937613280933324E-2</v>
      </c>
      <c r="U138">
        <f t="shared" si="121"/>
        <v>0.95528434184473998</v>
      </c>
      <c r="V138">
        <f t="shared" si="122"/>
        <v>-0.3001764089726035</v>
      </c>
      <c r="X138">
        <f t="shared" ref="X138:X201" si="139">20*LOG(C138*J138*O138*Q138*F138*M138*S138*U138)</f>
        <v>-7.0175402585166315</v>
      </c>
      <c r="Y138">
        <f t="shared" si="123"/>
        <v>-116.95637289552424</v>
      </c>
      <c r="Z138">
        <f t="shared" ref="Z138:Z201" si="140">Y138+180</f>
        <v>63.04362710447576</v>
      </c>
      <c r="AC138">
        <v>1</v>
      </c>
      <c r="AD138">
        <f t="shared" si="124"/>
        <v>5.8810614408000008</v>
      </c>
      <c r="AE138">
        <f t="shared" si="125"/>
        <v>-1.9214935372480325E-3</v>
      </c>
      <c r="AF138">
        <f t="shared" si="126"/>
        <v>6.2077870764000002E-3</v>
      </c>
      <c r="AG138">
        <f t="shared" ref="AG138:AG201" si="141">AC138*AE138/(AE138^2+AF138^2)+AD138*AF138/(AE138^2+AF138^2)</f>
        <v>819.03625568612506</v>
      </c>
      <c r="AH138">
        <f t="shared" ref="AH138:AH201" si="142">AD138*AE138/(AE138^2+AF138^2)-AC138*AF138/(AE138^2+AF138^2)</f>
        <v>-414.60392252456086</v>
      </c>
      <c r="AJ138">
        <f t="shared" si="127"/>
        <v>10500</v>
      </c>
      <c r="AK138">
        <f t="shared" si="128"/>
        <v>135.85251928248002</v>
      </c>
      <c r="AL138">
        <v>1</v>
      </c>
      <c r="AM138">
        <f t="shared" si="129"/>
        <v>6.188052848009761</v>
      </c>
      <c r="AN138">
        <f t="shared" ref="AN138:AN201" si="143">AJ138*AL138/(AL138^2+AM138^2)+AK138*AM138/(AL138^2+AM138^2)</f>
        <v>288.62524513242528</v>
      </c>
      <c r="AO138">
        <f t="shared" ref="AO138:AO201" si="144">AK138*AL138/(AL138^2+AM138^2)-AJ138*AM138/(AL138^2+AM138^2)</f>
        <v>-1650.1757508667397</v>
      </c>
      <c r="AQ138">
        <f t="shared" si="130"/>
        <v>0.92447074050106315</v>
      </c>
      <c r="AR138">
        <f t="shared" si="131"/>
        <v>-96.144957012110567</v>
      </c>
      <c r="AT138">
        <f t="shared" si="104"/>
        <v>-39104.901254384953</v>
      </c>
      <c r="AU138">
        <f t="shared" si="105"/>
        <v>-79129.494789573422</v>
      </c>
      <c r="AV138">
        <f t="shared" ref="AV138:AV201" si="145">ATAN2(AT138,AU138)</f>
        <v>-2.0297840883427449</v>
      </c>
      <c r="AW138">
        <f t="shared" ref="AW138:AW201" si="146">AG138-AH138*AO138/_Rfb2+AG138*AN138/_Rfb2+AN138-AO138*AR138+AQ138*AN138</f>
        <v>-157505.47693414381</v>
      </c>
      <c r="AX138">
        <f t="shared" ref="AX138:AX201" si="147">AH138+AH138*AN138/_Rfb2+AG138*AO138/_Rfb2+AO138+AO138*AQ138+AN138*AR138</f>
        <v>-32075.7901211116</v>
      </c>
      <c r="AY138">
        <f t="shared" si="103"/>
        <v>-2.9406911752824003</v>
      </c>
      <c r="BA138">
        <f t="shared" si="132"/>
        <v>0.54912066047114139</v>
      </c>
      <c r="BB138">
        <f t="shared" ref="BB138:BB201" si="148">20*LOG(BA138)</f>
        <v>-5.2066443161307943</v>
      </c>
      <c r="BC138">
        <f t="shared" ref="BC138:BC201" si="149">AV138-AY138</f>
        <v>0.91090708693965539</v>
      </c>
      <c r="BD138">
        <f t="shared" si="133"/>
        <v>-127.80886833016433</v>
      </c>
      <c r="BF138">
        <f t="shared" si="134"/>
        <v>-6.9995293036366313</v>
      </c>
      <c r="BG138">
        <f t="shared" si="135"/>
        <v>-117.99526946549865</v>
      </c>
      <c r="BH138">
        <f t="shared" ref="BH138:BH201" si="150">IF(BG138&gt;180,BG138-180,BG138+180)</f>
        <v>62.004730534501348</v>
      </c>
      <c r="BI138">
        <f t="shared" ref="BI138:BI201" si="151">IF(BH138&gt;180,BH138-360,BH138)</f>
        <v>62.004730534501348</v>
      </c>
      <c r="BJ138">
        <f t="shared" si="136"/>
        <v>0</v>
      </c>
      <c r="BK138">
        <f t="shared" ref="BK138:BK201" si="152">IF(BJ138&gt;0,BI138,0)</f>
        <v>0</v>
      </c>
      <c r="BM138">
        <f t="shared" ref="BM138:BM201" si="153">20*LOG(J138*F138*C138)</f>
        <v>-1.7928849875058372</v>
      </c>
      <c r="BN138">
        <f t="shared" si="137"/>
        <v>-170.18640113533434</v>
      </c>
      <c r="BQ138" s="56">
        <f t="shared" ref="BQ138:BQ201" si="154">20*LOG(BA138*7)</f>
        <v>11.695316484154343</v>
      </c>
      <c r="BR138" s="59"/>
      <c r="BS138" s="59"/>
      <c r="BT138" s="59">
        <v>1905.461</v>
      </c>
      <c r="BU138" s="59">
        <v>9.7134199999999993</v>
      </c>
      <c r="BV138" s="59">
        <v>-255.059</v>
      </c>
      <c r="BW138" s="61"/>
      <c r="BY138" s="59"/>
      <c r="BZ138" s="59"/>
      <c r="CA138" s="59"/>
      <c r="CC138" s="59"/>
    </row>
    <row r="139" spans="1:81" x14ac:dyDescent="0.2">
      <c r="A139">
        <f t="shared" si="106"/>
        <v>52500</v>
      </c>
      <c r="B139">
        <f t="shared" si="138"/>
        <v>52.5</v>
      </c>
      <c r="C139">
        <f t="shared" si="107"/>
        <v>1.000543914020136</v>
      </c>
      <c r="D139">
        <f t="shared" si="108"/>
        <v>3.2974766083306503E-2</v>
      </c>
      <c r="F139">
        <f t="shared" si="109"/>
        <v>5.3131092861423555E-2</v>
      </c>
      <c r="G139">
        <f t="shared" si="110"/>
        <v>0.13717175446649529</v>
      </c>
      <c r="H139">
        <f t="shared" si="111"/>
        <v>-3.0044208955335048</v>
      </c>
      <c r="J139">
        <f t="shared" si="112"/>
        <v>15</v>
      </c>
      <c r="M139">
        <f t="shared" si="113"/>
        <v>1.5195602651749029E-2</v>
      </c>
      <c r="N139">
        <f t="shared" si="114"/>
        <v>-1.5707963250000001</v>
      </c>
      <c r="O139">
        <f t="shared" si="115"/>
        <v>6.0212302563978879</v>
      </c>
      <c r="P139">
        <f t="shared" si="116"/>
        <v>1.4039442034889225</v>
      </c>
      <c r="Q139">
        <f t="shared" si="117"/>
        <v>6.3270785468581243</v>
      </c>
      <c r="R139">
        <f t="shared" si="118"/>
        <v>1.4120799706165201</v>
      </c>
      <c r="S139">
        <f t="shared" si="119"/>
        <v>0.99991469329969396</v>
      </c>
      <c r="T139">
        <f t="shared" si="120"/>
        <v>-1.3061999326729039E-2</v>
      </c>
      <c r="U139">
        <f t="shared" si="121"/>
        <v>0.95447840325214095</v>
      </c>
      <c r="V139">
        <f t="shared" si="122"/>
        <v>-0.30289014796468733</v>
      </c>
      <c r="X139">
        <f t="shared" si="139"/>
        <v>-7.1197678179618276</v>
      </c>
      <c r="Y139">
        <f t="shared" si="123"/>
        <v>-117.00774668367998</v>
      </c>
      <c r="Z139">
        <f t="shared" si="140"/>
        <v>62.992253316320017</v>
      </c>
      <c r="AC139">
        <v>1</v>
      </c>
      <c r="AD139">
        <f t="shared" si="124"/>
        <v>5.9376101085000004</v>
      </c>
      <c r="AE139">
        <f t="shared" si="125"/>
        <v>-1.9586229889200775E-3</v>
      </c>
      <c r="AF139">
        <f t="shared" si="126"/>
        <v>6.2674773367499999E-3</v>
      </c>
      <c r="AG139">
        <f t="shared" si="141"/>
        <v>817.65485655684506</v>
      </c>
      <c r="AH139">
        <f t="shared" si="142"/>
        <v>-415.07570897789344</v>
      </c>
      <c r="AJ139">
        <f t="shared" si="127"/>
        <v>10500</v>
      </c>
      <c r="AK139">
        <f t="shared" si="128"/>
        <v>137.15879350635004</v>
      </c>
      <c r="AL139">
        <v>1</v>
      </c>
      <c r="AM139">
        <f t="shared" si="129"/>
        <v>6.2475533561637002</v>
      </c>
      <c r="AN139">
        <f t="shared" si="143"/>
        <v>283.69626156243521</v>
      </c>
      <c r="AO139">
        <f t="shared" si="144"/>
        <v>-1635.2487375491369</v>
      </c>
      <c r="AQ139">
        <f t="shared" si="130"/>
        <v>0.90694721567204784</v>
      </c>
      <c r="AR139">
        <f t="shared" si="131"/>
        <v>-95.229457645565034</v>
      </c>
      <c r="AT139">
        <f t="shared" si="104"/>
        <v>-38785.864852278224</v>
      </c>
      <c r="AU139">
        <f t="shared" si="105"/>
        <v>-78241.280289721224</v>
      </c>
      <c r="AV139">
        <f t="shared" si="145"/>
        <v>-2.0310150764719452</v>
      </c>
      <c r="AW139">
        <f t="shared" si="146"/>
        <v>-154588.59494127924</v>
      </c>
      <c r="AX139">
        <f t="shared" si="147"/>
        <v>-31277.062110062467</v>
      </c>
      <c r="AY139">
        <f t="shared" ref="AY139:AY202" si="155">ATAN2(AW139,AX139)</f>
        <v>-2.9419629879759328</v>
      </c>
      <c r="BA139">
        <f t="shared" si="132"/>
        <v>0.55368183571950658</v>
      </c>
      <c r="BB139">
        <f t="shared" si="148"/>
        <v>-5.1347944774291481</v>
      </c>
      <c r="BC139">
        <f t="shared" si="149"/>
        <v>0.91094791150398757</v>
      </c>
      <c r="BD139">
        <f t="shared" si="133"/>
        <v>-127.80652925492495</v>
      </c>
      <c r="BF139">
        <f t="shared" si="134"/>
        <v>-7.1012712221259466</v>
      </c>
      <c r="BG139">
        <f t="shared" si="135"/>
        <v>-118.0578517174459</v>
      </c>
      <c r="BH139">
        <f t="shared" si="150"/>
        <v>61.942148282554101</v>
      </c>
      <c r="BI139">
        <f t="shared" si="151"/>
        <v>61.942148282554101</v>
      </c>
      <c r="BJ139">
        <f t="shared" si="136"/>
        <v>0</v>
      </c>
      <c r="BK139">
        <f t="shared" si="152"/>
        <v>0</v>
      </c>
      <c r="BM139">
        <f t="shared" si="153"/>
        <v>-1.9664767446967995</v>
      </c>
      <c r="BN139">
        <f t="shared" si="137"/>
        <v>-170.25132246252096</v>
      </c>
      <c r="BQ139" s="56">
        <f t="shared" si="154"/>
        <v>11.767166322855989</v>
      </c>
      <c r="BR139" s="59"/>
      <c r="BS139" s="59"/>
      <c r="BT139" s="59">
        <v>1949.845</v>
      </c>
      <c r="BU139" s="59">
        <v>9.5268499999999996</v>
      </c>
      <c r="BV139" s="59">
        <v>-254.971</v>
      </c>
      <c r="BW139" s="61"/>
      <c r="BY139" s="59"/>
      <c r="BZ139" s="59"/>
      <c r="CA139" s="59"/>
      <c r="CC139" s="59"/>
    </row>
    <row r="140" spans="1:81" x14ac:dyDescent="0.2">
      <c r="A140">
        <f t="shared" si="106"/>
        <v>53000</v>
      </c>
      <c r="B140">
        <f t="shared" si="138"/>
        <v>53</v>
      </c>
      <c r="C140">
        <f t="shared" si="107"/>
        <v>1.0005543207382457</v>
      </c>
      <c r="D140">
        <f t="shared" si="108"/>
        <v>3.3288580616818525E-2</v>
      </c>
      <c r="F140">
        <f t="shared" si="109"/>
        <v>5.2089970448838258E-2</v>
      </c>
      <c r="G140">
        <f t="shared" si="110"/>
        <v>0.13575586952743926</v>
      </c>
      <c r="H140">
        <f t="shared" si="111"/>
        <v>-3.0058367804725608</v>
      </c>
      <c r="J140">
        <f t="shared" si="112"/>
        <v>15</v>
      </c>
      <c r="M140">
        <f t="shared" si="113"/>
        <v>1.5052247909751395E-2</v>
      </c>
      <c r="N140">
        <f t="shared" si="114"/>
        <v>-1.5707963250000001</v>
      </c>
      <c r="O140">
        <f t="shared" si="115"/>
        <v>6.0770008585070547</v>
      </c>
      <c r="P140">
        <f t="shared" si="116"/>
        <v>1.4054896287869378</v>
      </c>
      <c r="Q140">
        <f t="shared" si="117"/>
        <v>6.3858381162854476</v>
      </c>
      <c r="R140">
        <f t="shared" si="118"/>
        <v>1.4135526211564142</v>
      </c>
      <c r="S140">
        <f t="shared" si="119"/>
        <v>0.99991306088549792</v>
      </c>
      <c r="T140">
        <f t="shared" si="120"/>
        <v>-1.3186384968315489E-2</v>
      </c>
      <c r="U140">
        <f t="shared" si="121"/>
        <v>0.95366681801171438</v>
      </c>
      <c r="V140">
        <f t="shared" si="122"/>
        <v>-0.30559929193929614</v>
      </c>
      <c r="X140">
        <f t="shared" si="139"/>
        <v>-7.2209295991060829</v>
      </c>
      <c r="Y140">
        <f t="shared" si="123"/>
        <v>-117.06031694707468</v>
      </c>
      <c r="Z140">
        <f t="shared" si="140"/>
        <v>62.939683052925318</v>
      </c>
      <c r="AC140">
        <v>1</v>
      </c>
      <c r="AD140">
        <f t="shared" si="124"/>
        <v>5.9941587762000008</v>
      </c>
      <c r="AE140">
        <f t="shared" si="125"/>
        <v>-1.9961077463497498E-3</v>
      </c>
      <c r="AF140">
        <f t="shared" si="126"/>
        <v>6.3271675970999995E-3</v>
      </c>
      <c r="AG140">
        <f t="shared" si="141"/>
        <v>816.26495714020677</v>
      </c>
      <c r="AH140">
        <f t="shared" si="142"/>
        <v>-415.56553760746806</v>
      </c>
      <c r="AJ140">
        <f t="shared" si="127"/>
        <v>10500</v>
      </c>
      <c r="AK140">
        <f t="shared" si="128"/>
        <v>138.46506773022003</v>
      </c>
      <c r="AL140">
        <v>1</v>
      </c>
      <c r="AM140">
        <f t="shared" si="129"/>
        <v>6.3070538643176404</v>
      </c>
      <c r="AN140">
        <f t="shared" si="143"/>
        <v>278.90155709142709</v>
      </c>
      <c r="AO140">
        <f t="shared" si="144"/>
        <v>-1620.5820756874721</v>
      </c>
      <c r="AQ140">
        <f t="shared" si="130"/>
        <v>0.88991723769689424</v>
      </c>
      <c r="AR140">
        <f t="shared" si="131"/>
        <v>-94.331227195870781</v>
      </c>
      <c r="AT140">
        <f t="shared" si="104"/>
        <v>-38474.39888693727</v>
      </c>
      <c r="AU140">
        <f t="shared" si="105"/>
        <v>-77369.094059330237</v>
      </c>
      <c r="AV140">
        <f t="shared" si="145"/>
        <v>-2.0322686343361509</v>
      </c>
      <c r="AW140">
        <f t="shared" si="146"/>
        <v>-151751.03040071024</v>
      </c>
      <c r="AX140">
        <f t="shared" si="147"/>
        <v>-30506.82080185811</v>
      </c>
      <c r="AY140">
        <f t="shared" si="155"/>
        <v>-2.9432049347627736</v>
      </c>
      <c r="BA140">
        <f t="shared" si="132"/>
        <v>0.55823456317734044</v>
      </c>
      <c r="BB140">
        <f t="shared" si="148"/>
        <v>-5.0636655521288834</v>
      </c>
      <c r="BC140">
        <f t="shared" si="149"/>
        <v>0.91093630042662266</v>
      </c>
      <c r="BD140">
        <f t="shared" si="133"/>
        <v>-127.80719452065433</v>
      </c>
      <c r="BF140">
        <f t="shared" si="134"/>
        <v>-7.2019447151657188</v>
      </c>
      <c r="BG140">
        <f t="shared" si="135"/>
        <v>-118.12166096621137</v>
      </c>
      <c r="BH140">
        <f t="shared" si="150"/>
        <v>61.878339033788635</v>
      </c>
      <c r="BI140">
        <f t="shared" si="151"/>
        <v>61.878339033788635</v>
      </c>
      <c r="BJ140">
        <f t="shared" si="136"/>
        <v>0</v>
      </c>
      <c r="BK140">
        <f t="shared" si="152"/>
        <v>0</v>
      </c>
      <c r="BM140">
        <f t="shared" si="153"/>
        <v>-2.1382791630368359</v>
      </c>
      <c r="BN140">
        <f t="shared" si="137"/>
        <v>-170.314466445557</v>
      </c>
      <c r="BQ140" s="56">
        <f t="shared" si="154"/>
        <v>11.838295248156252</v>
      </c>
      <c r="BR140" s="59"/>
      <c r="BS140" s="59"/>
      <c r="BT140" s="59">
        <v>1995.2619999999999</v>
      </c>
      <c r="BU140" s="59">
        <v>9.3349399999999996</v>
      </c>
      <c r="BV140" s="59">
        <v>-254.804</v>
      </c>
      <c r="BW140" s="61"/>
      <c r="BY140" s="59"/>
      <c r="BZ140" s="59"/>
      <c r="CA140" s="59"/>
      <c r="CC140" s="59"/>
    </row>
    <row r="141" spans="1:81" x14ac:dyDescent="0.2">
      <c r="A141">
        <f t="shared" si="106"/>
        <v>53500</v>
      </c>
      <c r="B141">
        <f t="shared" si="138"/>
        <v>53.5</v>
      </c>
      <c r="C141">
        <f t="shared" si="107"/>
        <v>1.0005648259884505</v>
      </c>
      <c r="D141">
        <f t="shared" si="108"/>
        <v>3.3602388591555316E-2</v>
      </c>
      <c r="F141">
        <f t="shared" si="109"/>
        <v>5.107954440720628E-2</v>
      </c>
      <c r="G141">
        <f t="shared" si="110"/>
        <v>0.13436999531921273</v>
      </c>
      <c r="H141">
        <f t="shared" si="111"/>
        <v>-3.0072226546807874</v>
      </c>
      <c r="J141">
        <f t="shared" si="112"/>
        <v>15</v>
      </c>
      <c r="M141">
        <f t="shared" si="113"/>
        <v>1.4911572695641572E-2</v>
      </c>
      <c r="N141">
        <f t="shared" si="114"/>
        <v>-1.5707963250000001</v>
      </c>
      <c r="O141">
        <f t="shared" si="115"/>
        <v>6.1327857105614632</v>
      </c>
      <c r="P141">
        <f t="shared" si="116"/>
        <v>1.4070069427563234</v>
      </c>
      <c r="Q141">
        <f t="shared" si="117"/>
        <v>6.4446112821206674</v>
      </c>
      <c r="R141">
        <f t="shared" si="118"/>
        <v>1.4149984144104015</v>
      </c>
      <c r="S141">
        <f t="shared" si="119"/>
        <v>0.99991141300629038</v>
      </c>
      <c r="T141">
        <f t="shared" si="120"/>
        <v>-1.3310770201845729E-2</v>
      </c>
      <c r="U141">
        <f t="shared" si="121"/>
        <v>0.95284963620846008</v>
      </c>
      <c r="V141">
        <f t="shared" si="122"/>
        <v>-0.30830381289134623</v>
      </c>
      <c r="X141">
        <f t="shared" si="139"/>
        <v>-7.3210525813161373</v>
      </c>
      <c r="Y141">
        <f t="shared" si="123"/>
        <v>-117.11405266460173</v>
      </c>
      <c r="Z141">
        <f t="shared" si="140"/>
        <v>62.885947335398271</v>
      </c>
      <c r="AC141">
        <v>1</v>
      </c>
      <c r="AD141">
        <f t="shared" si="124"/>
        <v>6.0507074439000013</v>
      </c>
      <c r="AE141">
        <f t="shared" si="125"/>
        <v>-2.0339478095370489E-3</v>
      </c>
      <c r="AF141">
        <f t="shared" si="126"/>
        <v>6.3868578574499991E-3</v>
      </c>
      <c r="AG141">
        <f t="shared" si="141"/>
        <v>814.86666777872779</v>
      </c>
      <c r="AH141">
        <f t="shared" si="142"/>
        <v>-416.07255606817012</v>
      </c>
      <c r="AJ141">
        <f t="shared" si="127"/>
        <v>10500</v>
      </c>
      <c r="AK141">
        <f t="shared" si="128"/>
        <v>139.77134195409002</v>
      </c>
      <c r="AL141">
        <v>1</v>
      </c>
      <c r="AM141">
        <f t="shared" si="129"/>
        <v>6.3665543724715805</v>
      </c>
      <c r="AN141">
        <f t="shared" si="143"/>
        <v>274.23633858729772</v>
      </c>
      <c r="AO141">
        <f t="shared" si="144"/>
        <v>-1606.1692185694669</v>
      </c>
      <c r="AQ141">
        <f t="shared" si="130"/>
        <v>0.8733624454148472</v>
      </c>
      <c r="AR141">
        <f t="shared" si="131"/>
        <v>-93.449781659388648</v>
      </c>
      <c r="AT141">
        <f t="shared" si="104"/>
        <v>-38170.215573375957</v>
      </c>
      <c r="AU141">
        <f t="shared" si="105"/>
        <v>-76512.494330473404</v>
      </c>
      <c r="AV141">
        <f t="shared" si="145"/>
        <v>-2.0335440014173258</v>
      </c>
      <c r="AW141">
        <f t="shared" si="146"/>
        <v>-148989.96049811121</v>
      </c>
      <c r="AX141">
        <f t="shared" si="147"/>
        <v>-29763.793601864301</v>
      </c>
      <c r="AY141">
        <f t="shared" si="155"/>
        <v>-2.9444178107724719</v>
      </c>
      <c r="BA141">
        <f t="shared" si="132"/>
        <v>0.56277870255524254</v>
      </c>
      <c r="BB141">
        <f t="shared" si="148"/>
        <v>-4.9932469218939595</v>
      </c>
      <c r="BC141">
        <f t="shared" si="149"/>
        <v>0.91087380935514606</v>
      </c>
      <c r="BD141">
        <f t="shared" si="133"/>
        <v>-127.81077499531128</v>
      </c>
      <c r="BF141">
        <f t="shared" si="134"/>
        <v>-7.3015768092957822</v>
      </c>
      <c r="BG141">
        <f t="shared" si="135"/>
        <v>-118.18666631147593</v>
      </c>
      <c r="BH141">
        <f t="shared" si="150"/>
        <v>61.813333688524068</v>
      </c>
      <c r="BI141">
        <f t="shared" si="151"/>
        <v>61.813333688524068</v>
      </c>
      <c r="BJ141">
        <f t="shared" si="136"/>
        <v>0</v>
      </c>
      <c r="BK141">
        <f t="shared" si="152"/>
        <v>0</v>
      </c>
      <c r="BM141">
        <f t="shared" si="153"/>
        <v>-2.3083298874018232</v>
      </c>
      <c r="BN141">
        <f t="shared" si="137"/>
        <v>-170.37589131616465</v>
      </c>
      <c r="BQ141" s="56">
        <f t="shared" si="154"/>
        <v>11.908713878391177</v>
      </c>
      <c r="BR141" s="59"/>
      <c r="BS141" s="59"/>
      <c r="BT141" s="59">
        <v>2041.7380000000001</v>
      </c>
      <c r="BU141" s="59">
        <v>9.0884699999999992</v>
      </c>
      <c r="BV141" s="59">
        <v>-254.411</v>
      </c>
      <c r="BW141" s="61"/>
      <c r="BY141" s="59"/>
      <c r="BZ141" s="59"/>
      <c r="CA141" s="59"/>
      <c r="CC141" s="59"/>
    </row>
    <row r="142" spans="1:81" x14ac:dyDescent="0.2">
      <c r="A142">
        <f t="shared" si="106"/>
        <v>54000</v>
      </c>
      <c r="B142">
        <f t="shared" si="138"/>
        <v>54</v>
      </c>
      <c r="C142">
        <f t="shared" si="107"/>
        <v>1.0005754297676472</v>
      </c>
      <c r="D142">
        <f t="shared" si="108"/>
        <v>3.3916189945919682E-2</v>
      </c>
      <c r="F142">
        <f t="shared" si="109"/>
        <v>5.0098605674590999E-2</v>
      </c>
      <c r="G142">
        <f t="shared" si="110"/>
        <v>0.13301316039623071</v>
      </c>
      <c r="H142">
        <f t="shared" si="111"/>
        <v>-3.0085794896037696</v>
      </c>
      <c r="J142">
        <f t="shared" si="112"/>
        <v>15</v>
      </c>
      <c r="M142">
        <f t="shared" si="113"/>
        <v>1.4773502578089334E-2</v>
      </c>
      <c r="N142">
        <f t="shared" si="114"/>
        <v>-1.5707963250000001</v>
      </c>
      <c r="O142">
        <f t="shared" si="115"/>
        <v>6.1885844272075303</v>
      </c>
      <c r="P142">
        <f t="shared" si="116"/>
        <v>1.4084968987028899</v>
      </c>
      <c r="Q142">
        <f t="shared" si="117"/>
        <v>6.5033976757392793</v>
      </c>
      <c r="R142">
        <f t="shared" si="118"/>
        <v>1.4164180725667508</v>
      </c>
      <c r="S142">
        <f t="shared" si="119"/>
        <v>0.99990974966230106</v>
      </c>
      <c r="T142">
        <f t="shared" si="120"/>
        <v>-1.3435155023472886E-2</v>
      </c>
      <c r="U142">
        <f t="shared" si="121"/>
        <v>0.95202690803344858</v>
      </c>
      <c r="V142">
        <f t="shared" si="122"/>
        <v>-0.31100368318176297</v>
      </c>
      <c r="X142">
        <f t="shared" si="139"/>
        <v>-7.4201627519607829</v>
      </c>
      <c r="Y142">
        <f t="shared" si="123"/>
        <v>-117.16892337611628</v>
      </c>
      <c r="Z142">
        <f t="shared" si="140"/>
        <v>62.831076623883718</v>
      </c>
      <c r="AC142">
        <v>1</v>
      </c>
      <c r="AD142">
        <f t="shared" si="124"/>
        <v>6.1072561115999999</v>
      </c>
      <c r="AE142">
        <f t="shared" si="125"/>
        <v>-2.0721431784819755E-3</v>
      </c>
      <c r="AF142">
        <f t="shared" si="126"/>
        <v>6.4465481178000005E-3</v>
      </c>
      <c r="AG142">
        <f t="shared" si="141"/>
        <v>813.460098872</v>
      </c>
      <c r="AH142">
        <f t="shared" si="142"/>
        <v>-416.59594340566241</v>
      </c>
      <c r="AJ142">
        <f t="shared" si="127"/>
        <v>10500</v>
      </c>
      <c r="AK142">
        <f t="shared" si="128"/>
        <v>141.07761617796004</v>
      </c>
      <c r="AL142">
        <v>1</v>
      </c>
      <c r="AM142">
        <f t="shared" si="129"/>
        <v>6.4260548806255198</v>
      </c>
      <c r="AN142">
        <f t="shared" si="143"/>
        <v>269.69602308431882</v>
      </c>
      <c r="AO142">
        <f t="shared" si="144"/>
        <v>-1592.0038292483198</v>
      </c>
      <c r="AQ142">
        <f t="shared" si="130"/>
        <v>0.85726532361765961</v>
      </c>
      <c r="AR142">
        <f t="shared" si="131"/>
        <v>-92.584654950707247</v>
      </c>
      <c r="AT142">
        <f t="shared" si="104"/>
        <v>-37873.040539168062</v>
      </c>
      <c r="AU142">
        <f t="shared" si="105"/>
        <v>-75671.055826473777</v>
      </c>
      <c r="AV142">
        <f t="shared" si="145"/>
        <v>-2.0348404434065435</v>
      </c>
      <c r="AW142">
        <f t="shared" si="146"/>
        <v>-146302.68573247004</v>
      </c>
      <c r="AX142">
        <f t="shared" si="147"/>
        <v>-29046.775620131986</v>
      </c>
      <c r="AY142">
        <f t="shared" si="155"/>
        <v>-2.9456023827916118</v>
      </c>
      <c r="BA142">
        <f t="shared" si="132"/>
        <v>0.56731411742537952</v>
      </c>
      <c r="BB142">
        <f t="shared" si="148"/>
        <v>-4.923528180507299</v>
      </c>
      <c r="BC142">
        <f t="shared" si="149"/>
        <v>0.91076193938506833</v>
      </c>
      <c r="BD142">
        <f t="shared" si="133"/>
        <v>-127.81718467245832</v>
      </c>
      <c r="BF142">
        <f t="shared" si="134"/>
        <v>-7.4001935390994937</v>
      </c>
      <c r="BG142">
        <f t="shared" si="135"/>
        <v>-118.25283741006355</v>
      </c>
      <c r="BH142">
        <f t="shared" si="150"/>
        <v>61.747162589936451</v>
      </c>
      <c r="BI142">
        <f t="shared" si="151"/>
        <v>61.747162589936451</v>
      </c>
      <c r="BJ142">
        <f t="shared" si="136"/>
        <v>0</v>
      </c>
      <c r="BK142">
        <f t="shared" si="152"/>
        <v>0</v>
      </c>
      <c r="BM142">
        <f t="shared" si="153"/>
        <v>-2.4766653585921956</v>
      </c>
      <c r="BN142">
        <f t="shared" si="137"/>
        <v>-170.43565273760524</v>
      </c>
      <c r="BQ142" s="56">
        <f t="shared" si="154"/>
        <v>11.978432619777838</v>
      </c>
      <c r="BR142" s="59"/>
      <c r="BS142" s="59"/>
      <c r="BT142" s="59">
        <v>2089.2959999999998</v>
      </c>
      <c r="BU142" s="59">
        <v>8.9698600000000006</v>
      </c>
      <c r="BV142" s="59">
        <v>-254.113</v>
      </c>
      <c r="BW142" s="61"/>
      <c r="BY142" s="59"/>
      <c r="BZ142" s="59"/>
      <c r="CA142" s="59"/>
      <c r="CC142" s="59"/>
    </row>
    <row r="143" spans="1:81" x14ac:dyDescent="0.2">
      <c r="A143">
        <f t="shared" si="106"/>
        <v>54500</v>
      </c>
      <c r="B143">
        <f t="shared" si="138"/>
        <v>54.5</v>
      </c>
      <c r="C143">
        <f t="shared" si="107"/>
        <v>1.0005861320727034</v>
      </c>
      <c r="D143">
        <f t="shared" si="108"/>
        <v>3.4229984618322253E-2</v>
      </c>
      <c r="F143">
        <f t="shared" si="109"/>
        <v>4.9146004756096089E-2</v>
      </c>
      <c r="G143">
        <f t="shared" si="110"/>
        <v>0.13168443566127316</v>
      </c>
      <c r="H143">
        <f t="shared" si="111"/>
        <v>-3.009908214338727</v>
      </c>
      <c r="J143">
        <f t="shared" si="112"/>
        <v>15</v>
      </c>
      <c r="M143">
        <f t="shared" si="113"/>
        <v>1.4637965857189432E-2</v>
      </c>
      <c r="N143">
        <f t="shared" si="114"/>
        <v>-1.5707963250000001</v>
      </c>
      <c r="O143">
        <f t="shared" si="115"/>
        <v>6.2443966367713637</v>
      </c>
      <c r="P143">
        <f t="shared" si="116"/>
        <v>1.4099602234963344</v>
      </c>
      <c r="Q143">
        <f t="shared" si="117"/>
        <v>6.5621969416443369</v>
      </c>
      <c r="R143">
        <f t="shared" si="118"/>
        <v>1.4178122923598129</v>
      </c>
      <c r="S143">
        <f t="shared" si="119"/>
        <v>0.9999080708537611</v>
      </c>
      <c r="T143">
        <f t="shared" si="120"/>
        <v>-1.3559539429350162E-2</v>
      </c>
      <c r="U143">
        <f t="shared" si="121"/>
        <v>0.95119868377656736</v>
      </c>
      <c r="V143">
        <f t="shared" si="122"/>
        <v>-0.31369887553764036</v>
      </c>
      <c r="X143">
        <f t="shared" si="139"/>
        <v>-7.5182851534463611</v>
      </c>
      <c r="Y143">
        <f t="shared" si="123"/>
        <v>-117.22489918915001</v>
      </c>
      <c r="Z143">
        <f t="shared" si="140"/>
        <v>62.775100810849992</v>
      </c>
      <c r="AC143">
        <v>1</v>
      </c>
      <c r="AD143">
        <f t="shared" si="124"/>
        <v>6.1638047793000004</v>
      </c>
      <c r="AE143">
        <f t="shared" si="125"/>
        <v>-2.1106938531845294E-3</v>
      </c>
      <c r="AF143">
        <f t="shared" si="126"/>
        <v>6.5062383781500002E-3</v>
      </c>
      <c r="AG143">
        <f t="shared" si="141"/>
        <v>812.04536085850657</v>
      </c>
      <c r="AH143">
        <f t="shared" si="142"/>
        <v>-417.13490867249197</v>
      </c>
      <c r="AJ143">
        <f t="shared" si="127"/>
        <v>10500</v>
      </c>
      <c r="AK143">
        <f t="shared" si="128"/>
        <v>142.38389040183003</v>
      </c>
      <c r="AL143">
        <v>1</v>
      </c>
      <c r="AM143">
        <f t="shared" si="129"/>
        <v>6.4855553887794617</v>
      </c>
      <c r="AN143">
        <f t="shared" si="143"/>
        <v>265.2762269171605</v>
      </c>
      <c r="AO143">
        <f t="shared" si="144"/>
        <v>-1578.0797725958435</v>
      </c>
      <c r="AQ143">
        <f t="shared" si="130"/>
        <v>0.84160915670762493</v>
      </c>
      <c r="AR143">
        <f t="shared" si="131"/>
        <v>-91.735398081131123</v>
      </c>
      <c r="AT143">
        <f t="shared" si="104"/>
        <v>-37582.612089246853</v>
      </c>
      <c r="AU143">
        <f t="shared" si="105"/>
        <v>-74844.368997012032</v>
      </c>
      <c r="AV143">
        <f t="shared" si="145"/>
        <v>-2.0361572510859887</v>
      </c>
      <c r="AW143">
        <f t="shared" si="146"/>
        <v>-143686.62356965736</v>
      </c>
      <c r="AX143">
        <f t="shared" si="147"/>
        <v>-28354.625512150862</v>
      </c>
      <c r="AY143">
        <f t="shared" si="155"/>
        <v>-2.9467593905080558</v>
      </c>
      <c r="BA143">
        <f t="shared" si="132"/>
        <v>0.57184067508996272</v>
      </c>
      <c r="BB143">
        <f t="shared" si="148"/>
        <v>-4.8544991293034707</v>
      </c>
      <c r="BC143">
        <f t="shared" si="149"/>
        <v>0.91060213942206714</v>
      </c>
      <c r="BD143">
        <f t="shared" si="133"/>
        <v>-127.82634053591511</v>
      </c>
      <c r="BF143">
        <f t="shared" si="134"/>
        <v>-7.4978199942316106</v>
      </c>
      <c r="BG143">
        <f t="shared" si="135"/>
        <v>-118.32014448267211</v>
      </c>
      <c r="BH143">
        <f t="shared" si="150"/>
        <v>61.679855517327894</v>
      </c>
      <c r="BI143">
        <f t="shared" si="151"/>
        <v>61.679855517327894</v>
      </c>
      <c r="BJ143">
        <f t="shared" si="136"/>
        <v>0</v>
      </c>
      <c r="BK143">
        <f t="shared" si="152"/>
        <v>0</v>
      </c>
      <c r="BM143">
        <f t="shared" si="153"/>
        <v>-2.6433208649281403</v>
      </c>
      <c r="BN143">
        <f t="shared" si="137"/>
        <v>-170.493803946757</v>
      </c>
      <c r="BQ143" s="56">
        <f t="shared" si="154"/>
        <v>12.047461670981667</v>
      </c>
      <c r="BR143" s="59"/>
      <c r="BS143" s="59"/>
      <c r="BT143" s="59">
        <v>2137.962</v>
      </c>
      <c r="BU143" s="59">
        <v>8.68736</v>
      </c>
      <c r="BV143" s="59">
        <v>-254.34</v>
      </c>
      <c r="BW143" s="61"/>
      <c r="BY143" s="59"/>
      <c r="BZ143" s="59"/>
      <c r="CA143" s="59"/>
      <c r="CC143" s="59"/>
    </row>
    <row r="144" spans="1:81" x14ac:dyDescent="0.2">
      <c r="A144">
        <f t="shared" si="106"/>
        <v>55000</v>
      </c>
      <c r="B144">
        <f t="shared" si="138"/>
        <v>55</v>
      </c>
      <c r="C144">
        <f t="shared" si="107"/>
        <v>1.0005969329004576</v>
      </c>
      <c r="D144">
        <f t="shared" si="108"/>
        <v>3.4543772547181523E-2</v>
      </c>
      <c r="F144">
        <f t="shared" si="109"/>
        <v>4.8220648204514376E-2</v>
      </c>
      <c r="G144">
        <f t="shared" si="110"/>
        <v>0.13038293205006043</v>
      </c>
      <c r="H144">
        <f t="shared" si="111"/>
        <v>-3.01120971794994</v>
      </c>
      <c r="J144">
        <f t="shared" si="112"/>
        <v>15</v>
      </c>
      <c r="M144">
        <f t="shared" si="113"/>
        <v>1.450489344030589E-2</v>
      </c>
      <c r="N144">
        <f t="shared" si="114"/>
        <v>-1.5707963250000001</v>
      </c>
      <c r="O144">
        <f t="shared" si="115"/>
        <v>6.3002219806610613</v>
      </c>
      <c r="P144">
        <f t="shared" si="116"/>
        <v>1.411397618709223</v>
      </c>
      <c r="Q144">
        <f t="shared" si="117"/>
        <v>6.6210087368906771</v>
      </c>
      <c r="R144">
        <f t="shared" si="118"/>
        <v>1.4191817461724494</v>
      </c>
      <c r="S144">
        <f t="shared" si="119"/>
        <v>0.99990637658090487</v>
      </c>
      <c r="T144">
        <f t="shared" si="120"/>
        <v>-1.3683923415630843E-2</v>
      </c>
      <c r="U144">
        <f t="shared" si="121"/>
        <v>0.95036501381931493</v>
      </c>
      <c r="V144">
        <f t="shared" si="122"/>
        <v>-0.31638936305233994</v>
      </c>
      <c r="X144">
        <f t="shared" si="139"/>
        <v>-7.6154439275382266</v>
      </c>
      <c r="Y144">
        <f t="shared" si="123"/>
        <v>-117.28195078315774</v>
      </c>
      <c r="Z144">
        <f t="shared" si="140"/>
        <v>62.71804921684226</v>
      </c>
      <c r="AC144">
        <v>1</v>
      </c>
      <c r="AD144">
        <f t="shared" si="124"/>
        <v>6.2203534469999999</v>
      </c>
      <c r="AE144">
        <f t="shared" si="125"/>
        <v>-2.1495998336447109E-3</v>
      </c>
      <c r="AF144">
        <f t="shared" si="126"/>
        <v>6.5659286384999998E-3</v>
      </c>
      <c r="AG144">
        <f t="shared" si="141"/>
        <v>810.62256419761457</v>
      </c>
      <c r="AH144">
        <f t="shared" si="142"/>
        <v>-417.68868961913881</v>
      </c>
      <c r="AJ144">
        <f t="shared" si="127"/>
        <v>10500</v>
      </c>
      <c r="AK144">
        <f t="shared" si="128"/>
        <v>143.69016462570002</v>
      </c>
      <c r="AL144">
        <v>1</v>
      </c>
      <c r="AM144">
        <f t="shared" si="129"/>
        <v>6.545055896933401</v>
      </c>
      <c r="AN144">
        <f t="shared" si="143"/>
        <v>260.97275549880328</v>
      </c>
      <c r="AO144">
        <f t="shared" si="144"/>
        <v>-1564.3911076907009</v>
      </c>
      <c r="AQ144">
        <f t="shared" si="130"/>
        <v>0.82637798529047191</v>
      </c>
      <c r="AR144">
        <f t="shared" si="131"/>
        <v>-90.901578381951907</v>
      </c>
      <c r="AT144">
        <f t="shared" si="104"/>
        <v>-37298.680517236309</v>
      </c>
      <c r="AU144">
        <f t="shared" si="105"/>
        <v>-74032.039295394381</v>
      </c>
      <c r="AV144">
        <f t="shared" si="145"/>
        <v>-2.0374937392678505</v>
      </c>
      <c r="AW144">
        <f t="shared" si="146"/>
        <v>-141139.30246996108</v>
      </c>
      <c r="AX144">
        <f t="shared" si="147"/>
        <v>-27686.261608315435</v>
      </c>
      <c r="AY144">
        <f t="shared" si="155"/>
        <v>-2.9478895476908424</v>
      </c>
      <c r="BA144">
        <f t="shared" si="132"/>
        <v>0.57635824645670652</v>
      </c>
      <c r="BB144">
        <f t="shared" si="148"/>
        <v>-4.7861497726453379</v>
      </c>
      <c r="BC144">
        <f t="shared" si="149"/>
        <v>0.91039580842299195</v>
      </c>
      <c r="BD144">
        <f t="shared" si="133"/>
        <v>-127.83816243135834</v>
      </c>
      <c r="BF144">
        <f t="shared" si="134"/>
        <v>-7.5944803637322433</v>
      </c>
      <c r="BG144">
        <f t="shared" si="135"/>
        <v>-118.38855831813775</v>
      </c>
      <c r="BH144">
        <f t="shared" si="150"/>
        <v>61.611441681862246</v>
      </c>
      <c r="BI144">
        <f t="shared" si="151"/>
        <v>61.611441681862246</v>
      </c>
      <c r="BJ144">
        <f t="shared" si="136"/>
        <v>0</v>
      </c>
      <c r="BK144">
        <f t="shared" si="152"/>
        <v>0</v>
      </c>
      <c r="BM144">
        <f t="shared" si="153"/>
        <v>-2.8083305910869045</v>
      </c>
      <c r="BN144">
        <f t="shared" si="137"/>
        <v>-170.55039588677943</v>
      </c>
      <c r="BQ144" s="56">
        <f t="shared" si="154"/>
        <v>12.115811027639797</v>
      </c>
      <c r="BR144" s="59"/>
      <c r="BS144" s="59"/>
      <c r="BT144" s="59">
        <v>2187.7620000000002</v>
      </c>
      <c r="BU144" s="59">
        <v>8.5308799999999998</v>
      </c>
      <c r="BV144" s="59">
        <v>-253.785</v>
      </c>
      <c r="BW144" s="61"/>
      <c r="BY144" s="59"/>
      <c r="BZ144" s="59"/>
      <c r="CA144" s="59"/>
      <c r="CC144" s="59"/>
    </row>
    <row r="145" spans="1:81" x14ac:dyDescent="0.2">
      <c r="A145">
        <f t="shared" si="106"/>
        <v>55500</v>
      </c>
      <c r="B145">
        <f t="shared" si="138"/>
        <v>55.5</v>
      </c>
      <c r="C145">
        <f t="shared" si="107"/>
        <v>1.000607832247719</v>
      </c>
      <c r="D145">
        <f t="shared" si="108"/>
        <v>3.4857553670923969E-2</v>
      </c>
      <c r="F145">
        <f t="shared" si="109"/>
        <v>4.7321495343093753E-2</v>
      </c>
      <c r="G145">
        <f t="shared" si="110"/>
        <v>0.12910779836749728</v>
      </c>
      <c r="H145">
        <f t="shared" si="111"/>
        <v>-3.0124848516325029</v>
      </c>
      <c r="J145">
        <f t="shared" si="112"/>
        <v>15</v>
      </c>
      <c r="M145">
        <f t="shared" si="113"/>
        <v>1.4374218724627462E-2</v>
      </c>
      <c r="N145">
        <f t="shared" si="114"/>
        <v>-1.5707963250000001</v>
      </c>
      <c r="O145">
        <f t="shared" si="115"/>
        <v>6.3560601127998568</v>
      </c>
      <c r="P145">
        <f t="shared" si="116"/>
        <v>1.4128097616981403</v>
      </c>
      <c r="Q145">
        <f t="shared" si="117"/>
        <v>6.6798327305390073</v>
      </c>
      <c r="R145">
        <f t="shared" si="118"/>
        <v>1.4205270830821388</v>
      </c>
      <c r="S145">
        <f t="shared" si="119"/>
        <v>0.99990466684396773</v>
      </c>
      <c r="T145">
        <f t="shared" si="120"/>
        <v>-1.380830697846829E-2</v>
      </c>
      <c r="U145">
        <f t="shared" si="121"/>
        <v>0.94952594862764539</v>
      </c>
      <c r="V145">
        <f t="shared" si="122"/>
        <v>-0.31907511918553</v>
      </c>
      <c r="X145">
        <f t="shared" si="139"/>
        <v>-7.711662357151063</v>
      </c>
      <c r="Y145">
        <f t="shared" si="123"/>
        <v>-117.34004941161088</v>
      </c>
      <c r="Z145">
        <f t="shared" si="140"/>
        <v>62.659950588389123</v>
      </c>
      <c r="AC145">
        <v>1</v>
      </c>
      <c r="AD145">
        <f t="shared" si="124"/>
        <v>6.2769021147000004</v>
      </c>
      <c r="AE145">
        <f t="shared" si="125"/>
        <v>-2.1888611198625191E-3</v>
      </c>
      <c r="AF145">
        <f t="shared" si="126"/>
        <v>6.6256188988499994E-3</v>
      </c>
      <c r="AG145">
        <f t="shared" si="141"/>
        <v>809.19181935175197</v>
      </c>
      <c r="AH145">
        <f t="shared" si="142"/>
        <v>-418.25655145527014</v>
      </c>
      <c r="AJ145">
        <f t="shared" si="127"/>
        <v>10500</v>
      </c>
      <c r="AK145">
        <f t="shared" si="128"/>
        <v>144.99643884957001</v>
      </c>
      <c r="AL145">
        <v>1</v>
      </c>
      <c r="AM145">
        <f t="shared" si="129"/>
        <v>6.6045564050873411</v>
      </c>
      <c r="AN145">
        <f t="shared" si="143"/>
        <v>256.78159369951078</v>
      </c>
      <c r="AO145">
        <f t="shared" si="144"/>
        <v>-1550.932080527069</v>
      </c>
      <c r="AQ145">
        <f t="shared" si="130"/>
        <v>0.81155656549261479</v>
      </c>
      <c r="AR145">
        <f t="shared" si="131"/>
        <v>-90.082778769680246</v>
      </c>
      <c r="AT145">
        <f t="shared" si="104"/>
        <v>-37021.007459976659</v>
      </c>
      <c r="AU145">
        <f t="shared" si="105"/>
        <v>-73233.686495292757</v>
      </c>
      <c r="AV145">
        <f t="shared" si="145"/>
        <v>-2.038849245786766</v>
      </c>
      <c r="AW145">
        <f t="shared" si="146"/>
        <v>-138658.35626488453</v>
      </c>
      <c r="AX145">
        <f t="shared" si="147"/>
        <v>-27040.658309821472</v>
      </c>
      <c r="AY145">
        <f t="shared" si="155"/>
        <v>-2.9489935433095495</v>
      </c>
      <c r="BA145">
        <f t="shared" si="132"/>
        <v>0.58086670592082856</v>
      </c>
      <c r="BB145">
        <f t="shared" si="148"/>
        <v>-4.7184703134517978</v>
      </c>
      <c r="BC145">
        <f t="shared" si="149"/>
        <v>0.91014429752278359</v>
      </c>
      <c r="BD145">
        <f t="shared" si="133"/>
        <v>-127.85257294445827</v>
      </c>
      <c r="BF145">
        <f t="shared" si="134"/>
        <v>-7.6901979778096052</v>
      </c>
      <c r="BG145">
        <f t="shared" si="135"/>
        <v>-118.45805027554515</v>
      </c>
      <c r="BH145">
        <f t="shared" si="150"/>
        <v>61.541949724454852</v>
      </c>
      <c r="BI145">
        <f t="shared" si="151"/>
        <v>61.541949724454852</v>
      </c>
      <c r="BJ145">
        <f t="shared" si="136"/>
        <v>0</v>
      </c>
      <c r="BK145">
        <f t="shared" si="152"/>
        <v>0</v>
      </c>
      <c r="BM145">
        <f t="shared" si="153"/>
        <v>-2.9717276643578074</v>
      </c>
      <c r="BN145">
        <f t="shared" si="137"/>
        <v>-170.60547733108689</v>
      </c>
      <c r="BQ145" s="56">
        <f t="shared" si="154"/>
        <v>12.183490486833337</v>
      </c>
      <c r="BR145" s="59"/>
      <c r="BS145" s="59"/>
      <c r="BT145" s="59">
        <v>2238.721</v>
      </c>
      <c r="BU145" s="59">
        <v>8.3496900000000007</v>
      </c>
      <c r="BV145" s="59">
        <v>-253.78300000000002</v>
      </c>
      <c r="BW145" s="61"/>
      <c r="BY145" s="59"/>
      <c r="BZ145" s="59"/>
      <c r="CA145" s="59"/>
      <c r="CC145" s="59"/>
    </row>
    <row r="146" spans="1:81" x14ac:dyDescent="0.2">
      <c r="A146">
        <f t="shared" si="106"/>
        <v>56000</v>
      </c>
      <c r="B146">
        <f t="shared" si="138"/>
        <v>56</v>
      </c>
      <c r="C146">
        <f t="shared" si="107"/>
        <v>1.0006188301112684</v>
      </c>
      <c r="D146">
        <f t="shared" si="108"/>
        <v>3.5171327927984088E-2</v>
      </c>
      <c r="F146">
        <f t="shared" si="109"/>
        <v>4.6447555211443753E-2</v>
      </c>
      <c r="G146">
        <f t="shared" si="110"/>
        <v>0.12785821926405386</v>
      </c>
      <c r="H146">
        <f t="shared" si="111"/>
        <v>-3.0137344307359464</v>
      </c>
      <c r="J146">
        <f t="shared" si="112"/>
        <v>15</v>
      </c>
      <c r="M146">
        <f t="shared" si="113"/>
        <v>1.4245877486014715E-2</v>
      </c>
      <c r="N146">
        <f t="shared" si="114"/>
        <v>-1.5707963250000001</v>
      </c>
      <c r="O146">
        <f t="shared" si="115"/>
        <v>6.4119106990883123</v>
      </c>
      <c r="P146">
        <f t="shared" si="116"/>
        <v>1.4141973066303806</v>
      </c>
      <c r="Q146">
        <f t="shared" si="117"/>
        <v>6.7386686031380787</v>
      </c>
      <c r="R146">
        <f t="shared" si="118"/>
        <v>1.4218489298540595</v>
      </c>
      <c r="S146">
        <f t="shared" si="119"/>
        <v>0.99990294164318805</v>
      </c>
      <c r="T146">
        <f t="shared" si="120"/>
        <v>-1.3932690114015937E-2</v>
      </c>
      <c r="U146">
        <f t="shared" si="121"/>
        <v>0.94868153874486483</v>
      </c>
      <c r="V146">
        <f t="shared" si="122"/>
        <v>-0.3217561177631672</v>
      </c>
      <c r="X146">
        <f t="shared" si="139"/>
        <v>-7.8069629057768513</v>
      </c>
      <c r="Y146">
        <f t="shared" si="123"/>
        <v>-117.39916690221662</v>
      </c>
      <c r="Z146">
        <f t="shared" si="140"/>
        <v>62.600833097783379</v>
      </c>
      <c r="AC146">
        <v>1</v>
      </c>
      <c r="AD146">
        <f t="shared" si="124"/>
        <v>6.3334507824000008</v>
      </c>
      <c r="AE146">
        <f t="shared" si="125"/>
        <v>-2.2284777118379544E-3</v>
      </c>
      <c r="AF146">
        <f t="shared" si="126"/>
        <v>6.6853091591999991E-3</v>
      </c>
      <c r="AG146">
        <f t="shared" si="141"/>
        <v>807.75323676876758</v>
      </c>
      <c r="AH146">
        <f t="shared" si="142"/>
        <v>-418.8377856768011</v>
      </c>
      <c r="AJ146">
        <f t="shared" si="127"/>
        <v>10500</v>
      </c>
      <c r="AK146">
        <f t="shared" si="128"/>
        <v>146.30271307344</v>
      </c>
      <c r="AL146">
        <v>1</v>
      </c>
      <c r="AM146">
        <f t="shared" si="129"/>
        <v>6.6640569132412804</v>
      </c>
      <c r="AN146">
        <f t="shared" si="143"/>
        <v>252.69889678718991</v>
      </c>
      <c r="AO146">
        <f t="shared" si="144"/>
        <v>-1537.6971170296777</v>
      </c>
      <c r="AQ146">
        <f t="shared" si="130"/>
        <v>0.79713033080908724</v>
      </c>
      <c r="AR146">
        <f t="shared" si="131"/>
        <v>-89.278597050617776</v>
      </c>
      <c r="AT146">
        <f t="shared" si="104"/>
        <v>-36749.365292174538</v>
      </c>
      <c r="AU146">
        <f t="shared" si="105"/>
        <v>-72448.944044462958</v>
      </c>
      <c r="AV146">
        <f t="shared" si="145"/>
        <v>-2.040223130542743</v>
      </c>
      <c r="AW146">
        <f t="shared" si="146"/>
        <v>-136241.51886030752</v>
      </c>
      <c r="AX146">
        <f t="shared" si="147"/>
        <v>-26416.842730599725</v>
      </c>
      <c r="AY146">
        <f t="shared" si="155"/>
        <v>-2.9500720425966889</v>
      </c>
      <c r="BA146">
        <f t="shared" si="132"/>
        <v>0.58536593125316305</v>
      </c>
      <c r="BB146">
        <f t="shared" si="148"/>
        <v>-4.6514511487829644</v>
      </c>
      <c r="BC146">
        <f t="shared" si="149"/>
        <v>0.90984891205394591</v>
      </c>
      <c r="BD146">
        <f t="shared" si="133"/>
        <v>-127.86949728517149</v>
      </c>
      <c r="BF146">
        <f t="shared" si="134"/>
        <v>-7.7849953472606304</v>
      </c>
      <c r="BG146">
        <f t="shared" si="135"/>
        <v>-118.5285922844653</v>
      </c>
      <c r="BH146">
        <f t="shared" si="150"/>
        <v>61.471407715534696</v>
      </c>
      <c r="BI146">
        <f t="shared" si="151"/>
        <v>61.471407715534696</v>
      </c>
      <c r="BJ146">
        <f t="shared" si="136"/>
        <v>0</v>
      </c>
      <c r="BK146">
        <f t="shared" si="152"/>
        <v>0</v>
      </c>
      <c r="BM146">
        <f t="shared" si="153"/>
        <v>-3.1335441984776669</v>
      </c>
      <c r="BN146">
        <f t="shared" si="137"/>
        <v>-170.65909499929381</v>
      </c>
      <c r="BQ146" s="56">
        <f t="shared" si="154"/>
        <v>12.250509651502172</v>
      </c>
      <c r="BR146" s="59"/>
      <c r="BS146" s="59"/>
      <c r="BT146" s="59">
        <v>2290.8679999999999</v>
      </c>
      <c r="BU146" s="59">
        <v>8.2818299999999994</v>
      </c>
      <c r="BV146" s="59">
        <v>-253.62</v>
      </c>
      <c r="BW146" s="61"/>
      <c r="BY146" s="59"/>
      <c r="BZ146" s="59"/>
      <c r="CA146" s="59"/>
      <c r="CC146" s="59"/>
    </row>
    <row r="147" spans="1:81" x14ac:dyDescent="0.2">
      <c r="A147">
        <f t="shared" si="106"/>
        <v>56500</v>
      </c>
      <c r="B147">
        <f t="shared" si="138"/>
        <v>56.5</v>
      </c>
      <c r="C147">
        <f t="shared" si="107"/>
        <v>1.0006299264878573</v>
      </c>
      <c r="D147">
        <f t="shared" si="108"/>
        <v>3.5485095256804468E-2</v>
      </c>
      <c r="F147">
        <f t="shared" si="109"/>
        <v>4.5597883717272872E-2</v>
      </c>
      <c r="G147">
        <f t="shared" si="110"/>
        <v>0.12663341334174921</v>
      </c>
      <c r="H147">
        <f t="shared" si="111"/>
        <v>-3.0149592366582509</v>
      </c>
      <c r="J147">
        <f t="shared" si="112"/>
        <v>15</v>
      </c>
      <c r="M147">
        <f t="shared" si="113"/>
        <v>1.4119807773749098E-2</v>
      </c>
      <c r="N147">
        <f t="shared" si="114"/>
        <v>-1.5707963250000001</v>
      </c>
      <c r="O147">
        <f t="shared" si="115"/>
        <v>6.4677734168938148</v>
      </c>
      <c r="P147">
        <f t="shared" si="116"/>
        <v>1.415560885459314</v>
      </c>
      <c r="Q147">
        <f t="shared" si="117"/>
        <v>6.797516046233266</v>
      </c>
      <c r="R147">
        <f t="shared" si="118"/>
        <v>1.4231478918842357</v>
      </c>
      <c r="S147">
        <f t="shared" si="119"/>
        <v>0.99990120097880597</v>
      </c>
      <c r="T147">
        <f t="shared" si="120"/>
        <v>-1.4057072818427302E-2</v>
      </c>
      <c r="U147">
        <f t="shared" si="121"/>
        <v>0.94783183478458011</v>
      </c>
      <c r="V147">
        <f t="shared" si="122"/>
        <v>-0.32443233297741847</v>
      </c>
      <c r="X147">
        <f t="shared" si="139"/>
        <v>-7.9013672547067095</v>
      </c>
      <c r="Y147">
        <f t="shared" si="123"/>
        <v>-117.45927565550983</v>
      </c>
      <c r="Z147">
        <f t="shared" si="140"/>
        <v>62.540724344490172</v>
      </c>
      <c r="AC147">
        <v>1</v>
      </c>
      <c r="AD147">
        <f t="shared" si="124"/>
        <v>6.3899994501000013</v>
      </c>
      <c r="AE147">
        <f t="shared" si="125"/>
        <v>-2.2684496095710174E-3</v>
      </c>
      <c r="AF147">
        <f t="shared" si="126"/>
        <v>6.7449994195499996E-3</v>
      </c>
      <c r="AG147">
        <f t="shared" si="141"/>
        <v>806.30692686448094</v>
      </c>
      <c r="AH147">
        <f t="shared" si="142"/>
        <v>-419.4317089546737</v>
      </c>
      <c r="AJ147">
        <f t="shared" si="127"/>
        <v>10500</v>
      </c>
      <c r="AK147">
        <f t="shared" si="128"/>
        <v>147.60898729731002</v>
      </c>
      <c r="AL147">
        <v>1</v>
      </c>
      <c r="AM147">
        <f t="shared" si="129"/>
        <v>6.7235574213952205</v>
      </c>
      <c r="AN147">
        <f t="shared" si="143"/>
        <v>248.72098189234953</v>
      </c>
      <c r="AO147">
        <f t="shared" si="144"/>
        <v>-1524.6808163617031</v>
      </c>
      <c r="AQ147">
        <f t="shared" si="130"/>
        <v>0.78308535630383713</v>
      </c>
      <c r="AR147">
        <f t="shared" si="131"/>
        <v>-88.488645262333591</v>
      </c>
      <c r="AT147">
        <f t="shared" si="104"/>
        <v>-36483.536558350541</v>
      </c>
      <c r="AU147">
        <f t="shared" si="105"/>
        <v>-71677.458453125306</v>
      </c>
      <c r="AV147">
        <f t="shared" si="145"/>
        <v>-2.0416147745916398</v>
      </c>
      <c r="AW147">
        <f t="shared" si="146"/>
        <v>-133886.61924476401</v>
      </c>
      <c r="AX147">
        <f t="shared" si="147"/>
        <v>-25813.891566606933</v>
      </c>
      <c r="AY147">
        <f t="shared" si="155"/>
        <v>-2.9511256880564551</v>
      </c>
      <c r="BA147">
        <f t="shared" si="132"/>
        <v>0.58985580349400701</v>
      </c>
      <c r="BB147">
        <f t="shared" si="148"/>
        <v>-4.5850828654879061</v>
      </c>
      <c r="BC147">
        <f t="shared" si="149"/>
        <v>0.90951091346481538</v>
      </c>
      <c r="BD147">
        <f t="shared" si="133"/>
        <v>-127.88886317783219</v>
      </c>
      <c r="BF147">
        <f t="shared" si="134"/>
        <v>-7.8788942006854246</v>
      </c>
      <c r="BG147">
        <f t="shared" si="135"/>
        <v>-118.6001568435658</v>
      </c>
      <c r="BH147">
        <f t="shared" si="150"/>
        <v>61.399843156434201</v>
      </c>
      <c r="BI147">
        <f t="shared" si="151"/>
        <v>61.399843156434201</v>
      </c>
      <c r="BJ147">
        <f t="shared" si="136"/>
        <v>0</v>
      </c>
      <c r="BK147">
        <f t="shared" si="152"/>
        <v>0</v>
      </c>
      <c r="BM147">
        <f t="shared" si="153"/>
        <v>-3.2938113351975185</v>
      </c>
      <c r="BN147">
        <f t="shared" si="137"/>
        <v>-170.71129366573362</v>
      </c>
      <c r="BQ147" s="56">
        <f t="shared" si="154"/>
        <v>12.31687793479723</v>
      </c>
      <c r="BR147" s="59"/>
      <c r="BS147" s="59"/>
      <c r="BT147" s="59">
        <v>2344.2289999999998</v>
      </c>
      <c r="BU147" s="59">
        <v>8.0662299999999991</v>
      </c>
      <c r="BV147" s="59">
        <v>-253.17099999999999</v>
      </c>
      <c r="BW147" s="61"/>
      <c r="BY147" s="59"/>
      <c r="BZ147" s="59"/>
      <c r="CA147" s="59"/>
      <c r="CC147" s="59"/>
    </row>
    <row r="148" spans="1:81" x14ac:dyDescent="0.2">
      <c r="A148">
        <f t="shared" si="106"/>
        <v>57000</v>
      </c>
      <c r="B148">
        <f t="shared" si="138"/>
        <v>57</v>
      </c>
      <c r="C148">
        <f t="shared" si="107"/>
        <v>1.000641121374209</v>
      </c>
      <c r="D148">
        <f t="shared" si="108"/>
        <v>3.5798855595835892E-2</v>
      </c>
      <c r="F148">
        <f t="shared" si="109"/>
        <v>4.4771580978150635E-2</v>
      </c>
      <c r="G148">
        <f t="shared" si="110"/>
        <v>0.12543263138009814</v>
      </c>
      <c r="H148">
        <f t="shared" si="111"/>
        <v>-3.0161600186199022</v>
      </c>
      <c r="J148">
        <f t="shared" si="112"/>
        <v>15</v>
      </c>
      <c r="M148">
        <f t="shared" si="113"/>
        <v>1.3995949810821473E-2</v>
      </c>
      <c r="N148">
        <f t="shared" si="114"/>
        <v>-1.5707963250000001</v>
      </c>
      <c r="O148">
        <f t="shared" si="115"/>
        <v>6.5236479545658135</v>
      </c>
      <c r="P148">
        <f t="shared" si="116"/>
        <v>1.4169011088513734</v>
      </c>
      <c r="Q148">
        <f t="shared" si="117"/>
        <v>6.8563747619000335</v>
      </c>
      <c r="R148">
        <f t="shared" si="118"/>
        <v>1.4244245540956229</v>
      </c>
      <c r="S148">
        <f t="shared" si="119"/>
        <v>0.99989944485106375</v>
      </c>
      <c r="T148">
        <f t="shared" si="120"/>
        <v>-1.4181455087855989E-2</v>
      </c>
      <c r="U148">
        <f t="shared" si="121"/>
        <v>0.94697688742370312</v>
      </c>
      <c r="V148">
        <f t="shared" si="122"/>
        <v>-0.3271037393865267</v>
      </c>
      <c r="X148">
        <f t="shared" si="139"/>
        <v>-7.9948963381908591</v>
      </c>
      <c r="Y148">
        <f t="shared" si="123"/>
        <v>-117.52034864203718</v>
      </c>
      <c r="Z148">
        <f t="shared" si="140"/>
        <v>62.479651357962823</v>
      </c>
      <c r="AC148">
        <v>1</v>
      </c>
      <c r="AD148">
        <f t="shared" si="124"/>
        <v>6.4465481178000008</v>
      </c>
      <c r="AE148">
        <f t="shared" si="125"/>
        <v>-2.3087768130617076E-3</v>
      </c>
      <c r="AF148">
        <f t="shared" si="126"/>
        <v>6.8046896799000001E-3</v>
      </c>
      <c r="AG148">
        <f t="shared" si="141"/>
        <v>804.8530000054235</v>
      </c>
      <c r="AH148">
        <f t="shared" si="142"/>
        <v>-420.03766208155434</v>
      </c>
      <c r="AJ148">
        <f t="shared" si="127"/>
        <v>10500</v>
      </c>
      <c r="AK148">
        <f t="shared" si="128"/>
        <v>148.91526152118001</v>
      </c>
      <c r="AL148">
        <v>1</v>
      </c>
      <c r="AM148">
        <f t="shared" si="129"/>
        <v>6.7830579295491606</v>
      </c>
      <c r="AN148">
        <f t="shared" si="143"/>
        <v>244.844319963538</v>
      </c>
      <c r="AO148">
        <f t="shared" si="144"/>
        <v>-1511.8779445125683</v>
      </c>
      <c r="AQ148">
        <f t="shared" si="130"/>
        <v>0.76940832499807643</v>
      </c>
      <c r="AR148">
        <f t="shared" si="131"/>
        <v>-87.712549049780719</v>
      </c>
      <c r="AT148">
        <f t="shared" si="104"/>
        <v>-36223.313439479709</v>
      </c>
      <c r="AU148">
        <f t="shared" si="105"/>
        <v>-70918.888714857138</v>
      </c>
      <c r="AV148">
        <f t="shared" si="145"/>
        <v>-2.0430235792805038</v>
      </c>
      <c r="AW148">
        <f t="shared" si="146"/>
        <v>-131591.57678311729</v>
      </c>
      <c r="AX148">
        <f t="shared" si="147"/>
        <v>-25230.928175352306</v>
      </c>
      <c r="AY148">
        <f t="shared" si="155"/>
        <v>-2.9521551004229396</v>
      </c>
      <c r="BA148">
        <f t="shared" si="132"/>
        <v>0.59433620685233712</v>
      </c>
      <c r="BB148">
        <f t="shared" si="148"/>
        <v>-4.5193562359193535</v>
      </c>
      <c r="BC148">
        <f t="shared" si="149"/>
        <v>0.90913152114243578</v>
      </c>
      <c r="BD148">
        <f t="shared" si="133"/>
        <v>-127.91060075670904</v>
      </c>
      <c r="BF148">
        <f t="shared" si="134"/>
        <v>-7.9719155196399907</v>
      </c>
      <c r="BG148">
        <f t="shared" si="135"/>
        <v>-118.67271701781371</v>
      </c>
      <c r="BH148">
        <f t="shared" si="150"/>
        <v>61.32728298218629</v>
      </c>
      <c r="BI148">
        <f t="shared" si="151"/>
        <v>61.32728298218629</v>
      </c>
      <c r="BJ148">
        <f t="shared" si="136"/>
        <v>0</v>
      </c>
      <c r="BK148">
        <f t="shared" si="152"/>
        <v>0</v>
      </c>
      <c r="BM148">
        <f t="shared" si="153"/>
        <v>-3.4525592837206358</v>
      </c>
      <c r="BN148">
        <f t="shared" si="137"/>
        <v>-170.76211626110467</v>
      </c>
      <c r="BQ148" s="56">
        <f t="shared" si="154"/>
        <v>12.382604564365781</v>
      </c>
      <c r="BR148" s="59"/>
      <c r="BS148" s="59"/>
      <c r="BT148" s="59">
        <v>2398.8330000000001</v>
      </c>
      <c r="BU148" s="59">
        <v>7.8140200000000002</v>
      </c>
      <c r="BV148" s="59">
        <v>-252.65800000000002</v>
      </c>
      <c r="BW148" s="61"/>
      <c r="BY148" s="59"/>
      <c r="BZ148" s="59"/>
      <c r="CA148" s="59"/>
      <c r="CC148" s="59"/>
    </row>
    <row r="149" spans="1:81" x14ac:dyDescent="0.2">
      <c r="A149">
        <f t="shared" si="106"/>
        <v>57500</v>
      </c>
      <c r="B149">
        <f t="shared" si="138"/>
        <v>57.5</v>
      </c>
      <c r="C149">
        <f t="shared" si="107"/>
        <v>1.0006524147670164</v>
      </c>
      <c r="D149">
        <f t="shared" si="108"/>
        <v>3.6112608883537393E-2</v>
      </c>
      <c r="F149">
        <f t="shared" si="109"/>
        <v>4.3967788838848706E-2</v>
      </c>
      <c r="G149">
        <f t="shared" si="110"/>
        <v>0.12425515467319868</v>
      </c>
      <c r="H149">
        <f t="shared" si="111"/>
        <v>-3.0173374953268017</v>
      </c>
      <c r="J149">
        <f t="shared" si="112"/>
        <v>15</v>
      </c>
      <c r="M149">
        <f t="shared" si="113"/>
        <v>1.3874245899423026E-2</v>
      </c>
      <c r="N149">
        <f t="shared" si="114"/>
        <v>-1.5707963250000001</v>
      </c>
      <c r="O149">
        <f t="shared" si="115"/>
        <v>6.5795340109752782</v>
      </c>
      <c r="P149">
        <f t="shared" si="116"/>
        <v>1.4182185670674101</v>
      </c>
      <c r="Q149">
        <f t="shared" si="117"/>
        <v>6.9152444623008007</v>
      </c>
      <c r="R149">
        <f t="shared" si="118"/>
        <v>1.425679481789828</v>
      </c>
      <c r="S149">
        <f t="shared" si="119"/>
        <v>0.99989767326020584</v>
      </c>
      <c r="T149">
        <f t="shared" si="120"/>
        <v>-1.430583691845567E-2</v>
      </c>
      <c r="U149">
        <f t="shared" si="121"/>
        <v>0.94611674739550933</v>
      </c>
      <c r="V149">
        <f t="shared" si="122"/>
        <v>-0.3297703119146187</v>
      </c>
      <c r="X149">
        <f t="shared" si="139"/>
        <v>-8.0875703766704934</v>
      </c>
      <c r="Y149">
        <f t="shared" si="123"/>
        <v>-117.58235939832558</v>
      </c>
      <c r="Z149">
        <f t="shared" si="140"/>
        <v>62.417640601674421</v>
      </c>
      <c r="AC149">
        <v>1</v>
      </c>
      <c r="AD149">
        <f t="shared" si="124"/>
        <v>6.5030967855000004</v>
      </c>
      <c r="AE149">
        <f t="shared" si="125"/>
        <v>-2.3494593223100249E-3</v>
      </c>
      <c r="AF149">
        <f t="shared" si="126"/>
        <v>6.8643799402499997E-3</v>
      </c>
      <c r="AG149">
        <f t="shared" si="141"/>
        <v>803.3915664917771</v>
      </c>
      <c r="AH149">
        <f t="shared" si="142"/>
        <v>-420.65500897291486</v>
      </c>
      <c r="AJ149">
        <f t="shared" si="127"/>
        <v>10500</v>
      </c>
      <c r="AK149">
        <f t="shared" si="128"/>
        <v>150.22153574505001</v>
      </c>
      <c r="AL149">
        <v>1</v>
      </c>
      <c r="AM149">
        <f t="shared" si="129"/>
        <v>6.8425584377030999</v>
      </c>
      <c r="AN149">
        <f t="shared" si="143"/>
        <v>241.06552818159017</v>
      </c>
      <c r="AO149">
        <f t="shared" si="144"/>
        <v>-1499.2834281532441</v>
      </c>
      <c r="AQ149">
        <f t="shared" si="130"/>
        <v>0.75608649629517621</v>
      </c>
      <c r="AR149">
        <f t="shared" si="131"/>
        <v>-86.949947073945253</v>
      </c>
      <c r="AT149">
        <f t="shared" si="104"/>
        <v>-35968.49725192305</v>
      </c>
      <c r="AU149">
        <f t="shared" si="105"/>
        <v>-70172.905757997331</v>
      </c>
      <c r="AV149">
        <f t="shared" si="145"/>
        <v>-2.0444489654252234</v>
      </c>
      <c r="AW149">
        <f t="shared" si="146"/>
        <v>-129354.39677731892</v>
      </c>
      <c r="AX149">
        <f t="shared" si="147"/>
        <v>-24667.119849953629</v>
      </c>
      <c r="AY149">
        <f t="shared" si="155"/>
        <v>-2.9531608795707105</v>
      </c>
      <c r="BA149">
        <f t="shared" si="132"/>
        <v>0.59880702861006252</v>
      </c>
      <c r="BB149">
        <f t="shared" si="148"/>
        <v>-4.4542622137189518</v>
      </c>
      <c r="BC149">
        <f t="shared" si="149"/>
        <v>0.90871191414548713</v>
      </c>
      <c r="BD149">
        <f t="shared" si="133"/>
        <v>-127.93464246671584</v>
      </c>
      <c r="BF149">
        <f t="shared" si="134"/>
        <v>-8.0640795718608551</v>
      </c>
      <c r="BG149">
        <f t="shared" si="135"/>
        <v>-118.74624643446369</v>
      </c>
      <c r="BH149">
        <f t="shared" si="150"/>
        <v>61.253753565536314</v>
      </c>
      <c r="BI149">
        <f t="shared" si="151"/>
        <v>61.253753565536314</v>
      </c>
      <c r="BJ149">
        <f t="shared" si="136"/>
        <v>0</v>
      </c>
      <c r="BK149">
        <f t="shared" si="152"/>
        <v>0</v>
      </c>
      <c r="BM149">
        <f t="shared" si="153"/>
        <v>-3.609817358141902</v>
      </c>
      <c r="BN149">
        <f t="shared" si="137"/>
        <v>-170.81160396774786</v>
      </c>
      <c r="BQ149" s="56">
        <f t="shared" si="154"/>
        <v>12.447698586566185</v>
      </c>
      <c r="BR149" s="59"/>
      <c r="BS149" s="59"/>
      <c r="BT149" s="59">
        <v>2454.7089999999998</v>
      </c>
      <c r="BU149" s="59">
        <v>7.6423899999999998</v>
      </c>
      <c r="BV149" s="59">
        <v>-251.97399999999999</v>
      </c>
      <c r="BW149" s="61"/>
      <c r="BY149" s="59"/>
      <c r="BZ149" s="59"/>
      <c r="CA149" s="59"/>
      <c r="CC149" s="59"/>
    </row>
    <row r="150" spans="1:81" x14ac:dyDescent="0.2">
      <c r="A150">
        <f t="shared" si="106"/>
        <v>58000</v>
      </c>
      <c r="B150">
        <f t="shared" si="138"/>
        <v>58</v>
      </c>
      <c r="C150">
        <f t="shared" si="107"/>
        <v>1.0006638066629447</v>
      </c>
      <c r="D150">
        <f t="shared" si="108"/>
        <v>3.642635505837629E-2</v>
      </c>
      <c r="F150">
        <f t="shared" si="109"/>
        <v>4.3185688551045459E-2</v>
      </c>
      <c r="G150">
        <f t="shared" si="110"/>
        <v>0.12310029346987109</v>
      </c>
      <c r="H150">
        <f t="shared" si="111"/>
        <v>-3.0184923565301292</v>
      </c>
      <c r="J150">
        <f t="shared" si="112"/>
        <v>15</v>
      </c>
      <c r="M150">
        <f t="shared" si="113"/>
        <v>1.3754640331324553E-2</v>
      </c>
      <c r="N150">
        <f t="shared" si="114"/>
        <v>-1.5707963250000001</v>
      </c>
      <c r="O150">
        <f t="shared" si="115"/>
        <v>6.6354312950770149</v>
      </c>
      <c r="P150">
        <f t="shared" si="116"/>
        <v>1.4195138308009954</v>
      </c>
      <c r="Q150">
        <f t="shared" si="117"/>
        <v>6.9741248692638989</v>
      </c>
      <c r="R150">
        <f t="shared" si="118"/>
        <v>1.4269132214569884</v>
      </c>
      <c r="S150">
        <f t="shared" si="119"/>
        <v>0.99989588620647885</v>
      </c>
      <c r="T150">
        <f t="shared" si="120"/>
        <v>-1.4430218306380107E-2</v>
      </c>
      <c r="U150">
        <f t="shared" si="121"/>
        <v>0.94525146548275496</v>
      </c>
      <c r="V150">
        <f t="shared" si="122"/>
        <v>-0.33243202585145709</v>
      </c>
      <c r="X150">
        <f t="shared" si="139"/>
        <v>-8.1794089082051524</v>
      </c>
      <c r="Y150">
        <f t="shared" si="123"/>
        <v>-117.64528202180797</v>
      </c>
      <c r="Z150">
        <f t="shared" si="140"/>
        <v>62.354717978192028</v>
      </c>
      <c r="AC150">
        <v>1</v>
      </c>
      <c r="AD150">
        <f t="shared" si="124"/>
        <v>6.5596454532000008</v>
      </c>
      <c r="AE150">
        <f t="shared" si="125"/>
        <v>-2.3904971373159695E-3</v>
      </c>
      <c r="AF150">
        <f t="shared" si="126"/>
        <v>6.9240702006000002E-3</v>
      </c>
      <c r="AG150">
        <f t="shared" si="141"/>
        <v>801.92273654050916</v>
      </c>
      <c r="AH150">
        <f t="shared" si="142"/>
        <v>-421.2831357192054</v>
      </c>
      <c r="AJ150">
        <f t="shared" si="127"/>
        <v>10500</v>
      </c>
      <c r="AK150">
        <f t="shared" si="128"/>
        <v>151.52780996892002</v>
      </c>
      <c r="AL150">
        <v>1</v>
      </c>
      <c r="AM150">
        <f t="shared" si="129"/>
        <v>6.9020589458570401</v>
      </c>
      <c r="AN150">
        <f t="shared" si="143"/>
        <v>237.38136280327512</v>
      </c>
      <c r="AO150">
        <f t="shared" si="144"/>
        <v>-1486.8923487471607</v>
      </c>
      <c r="AQ150">
        <f t="shared" si="130"/>
        <v>0.74310767630229624</v>
      </c>
      <c r="AR150">
        <f t="shared" si="131"/>
        <v>-86.200490451066358</v>
      </c>
      <c r="AT150">
        <f t="shared" ref="AT150:AT213" si="156">-AR150*AH150+AG150*AQ150</f>
        <v>-35718.897976434062</v>
      </c>
      <c r="AU150">
        <f t="shared" ref="AU150:AU213" si="157">AQ150*AH150+AG150*AR150</f>
        <v>-69439.191925702806</v>
      </c>
      <c r="AV150">
        <f t="shared" si="145"/>
        <v>-2.0458903725281186</v>
      </c>
      <c r="AW150">
        <f t="shared" si="146"/>
        <v>-127173.16627723635</v>
      </c>
      <c r="AX150">
        <f t="shared" si="147"/>
        <v>-24121.675273306133</v>
      </c>
      <c r="AY150">
        <f t="shared" si="155"/>
        <v>-2.9541436053804819</v>
      </c>
      <c r="BA150">
        <f t="shared" si="132"/>
        <v>0.60326815903099995</v>
      </c>
      <c r="BB150">
        <f t="shared" si="148"/>
        <v>-4.3897919296760417</v>
      </c>
      <c r="BC150">
        <f t="shared" si="149"/>
        <v>0.90825323285236337</v>
      </c>
      <c r="BD150">
        <f t="shared" si="133"/>
        <v>-127.96092296898345</v>
      </c>
      <c r="BF150">
        <f t="shared" si="134"/>
        <v>-8.155405942685368</v>
      </c>
      <c r="BG150">
        <f t="shared" si="135"/>
        <v>-118.82071927800382</v>
      </c>
      <c r="BH150">
        <f t="shared" si="150"/>
        <v>61.179280721996179</v>
      </c>
      <c r="BI150">
        <f t="shared" si="151"/>
        <v>61.179280721996179</v>
      </c>
      <c r="BJ150">
        <f t="shared" si="136"/>
        <v>0</v>
      </c>
      <c r="BK150">
        <f t="shared" si="152"/>
        <v>0</v>
      </c>
      <c r="BM150">
        <f t="shared" si="153"/>
        <v>-3.7656140130093259</v>
      </c>
      <c r="BN150">
        <f t="shared" si="137"/>
        <v>-170.85979630902037</v>
      </c>
      <c r="BQ150" s="56">
        <f t="shared" si="154"/>
        <v>12.512168870609095</v>
      </c>
      <c r="BR150" s="59"/>
      <c r="BS150" s="59"/>
      <c r="BT150" s="59">
        <v>2511.886</v>
      </c>
      <c r="BU150" s="59">
        <v>7.45716</v>
      </c>
      <c r="BV150" s="59">
        <v>-252.25200000000001</v>
      </c>
      <c r="BW150" s="61"/>
      <c r="BY150" s="59"/>
      <c r="BZ150" s="59"/>
      <c r="CA150" s="59"/>
      <c r="CC150" s="59"/>
    </row>
    <row r="151" spans="1:81" x14ac:dyDescent="0.2">
      <c r="A151">
        <f t="shared" si="106"/>
        <v>58500</v>
      </c>
      <c r="B151">
        <f t="shared" si="138"/>
        <v>58.5</v>
      </c>
      <c r="C151">
        <f t="shared" si="107"/>
        <v>1.0006752970586301</v>
      </c>
      <c r="D151">
        <f t="shared" si="108"/>
        <v>3.6740094058828339E-2</v>
      </c>
      <c r="F151">
        <f t="shared" si="109"/>
        <v>4.2424498603293399E-2</v>
      </c>
      <c r="G151">
        <f t="shared" si="110"/>
        <v>0.12196738550942973</v>
      </c>
      <c r="H151">
        <f t="shared" si="111"/>
        <v>-3.0196252644905703</v>
      </c>
      <c r="J151">
        <f t="shared" si="112"/>
        <v>15</v>
      </c>
      <c r="M151">
        <f t="shared" si="113"/>
        <v>1.3637079302851693E-2</v>
      </c>
      <c r="N151">
        <f t="shared" si="114"/>
        <v>-1.5707963250000001</v>
      </c>
      <c r="O151">
        <f t="shared" si="115"/>
        <v>6.6913395254935102</v>
      </c>
      <c r="P151">
        <f t="shared" si="116"/>
        <v>1.4207874519760784</v>
      </c>
      <c r="Q151">
        <f t="shared" si="117"/>
        <v>7.0330157138833167</v>
      </c>
      <c r="R151">
        <f t="shared" si="118"/>
        <v>1.428126301546164</v>
      </c>
      <c r="S151">
        <f t="shared" si="119"/>
        <v>0.99989408369013189</v>
      </c>
      <c r="T151">
        <f t="shared" si="120"/>
        <v>-1.4554599247783143E-2</v>
      </c>
      <c r="U151">
        <f t="shared" si="121"/>
        <v>0.944381092510852</v>
      </c>
      <c r="V151">
        <f t="shared" si="122"/>
        <v>-0.33508885685213696</v>
      </c>
      <c r="X151">
        <f t="shared" si="139"/>
        <v>-8.2704308182105279</v>
      </c>
      <c r="Y151">
        <f t="shared" si="123"/>
        <v>-117.70909116485724</v>
      </c>
      <c r="Z151">
        <f t="shared" si="140"/>
        <v>62.290908835142758</v>
      </c>
      <c r="AC151">
        <v>1</v>
      </c>
      <c r="AD151">
        <f t="shared" si="124"/>
        <v>6.6161941209000004</v>
      </c>
      <c r="AE151">
        <f t="shared" si="125"/>
        <v>-2.4318902580795403E-3</v>
      </c>
      <c r="AF151">
        <f t="shared" si="126"/>
        <v>6.9837604609499998E-3</v>
      </c>
      <c r="AG151">
        <f t="shared" si="141"/>
        <v>800.44662026871163</v>
      </c>
      <c r="AH151">
        <f t="shared" si="142"/>
        <v>-421.92144968605459</v>
      </c>
      <c r="AJ151">
        <f t="shared" si="127"/>
        <v>10500</v>
      </c>
      <c r="AK151">
        <f t="shared" si="128"/>
        <v>152.83408419279002</v>
      </c>
      <c r="AL151">
        <v>1</v>
      </c>
      <c r="AM151">
        <f t="shared" si="129"/>
        <v>6.9615594540109811</v>
      </c>
      <c r="AN151">
        <f t="shared" si="143"/>
        <v>233.78871240702227</v>
      </c>
      <c r="AO151">
        <f t="shared" si="144"/>
        <v>-1474.6999369053704</v>
      </c>
      <c r="AQ151">
        <f t="shared" si="130"/>
        <v>0.73046018991964934</v>
      </c>
      <c r="AR151">
        <f t="shared" si="131"/>
        <v>-85.463842220598977</v>
      </c>
      <c r="AT151">
        <f t="shared" si="156"/>
        <v>-35474.333815193335</v>
      </c>
      <c r="AU151">
        <f t="shared" si="157"/>
        <v>-68717.440482925711</v>
      </c>
      <c r="AV151">
        <f t="shared" si="145"/>
        <v>-2.0473472580332404</v>
      </c>
      <c r="AW151">
        <f t="shared" si="146"/>
        <v>-125046.05012573014</v>
      </c>
      <c r="AX151">
        <f t="shared" si="147"/>
        <v>-23593.842139121254</v>
      </c>
      <c r="AY151">
        <f t="shared" si="155"/>
        <v>-2.9551038385624113</v>
      </c>
      <c r="BA151">
        <f t="shared" si="132"/>
        <v>0.60771949127428615</v>
      </c>
      <c r="BB151">
        <f t="shared" si="148"/>
        <v>-4.3259366876622334</v>
      </c>
      <c r="BC151">
        <f t="shared" si="149"/>
        <v>0.90775658052917096</v>
      </c>
      <c r="BD151">
        <f t="shared" si="133"/>
        <v>-127.98937905102026</v>
      </c>
      <c r="BF151">
        <f t="shared" si="134"/>
        <v>-8.2459135647824393</v>
      </c>
      <c r="BG151">
        <f t="shared" si="135"/>
        <v>-118.89611028420974</v>
      </c>
      <c r="BH151">
        <f t="shared" si="150"/>
        <v>61.10388971579026</v>
      </c>
      <c r="BI151">
        <f t="shared" si="151"/>
        <v>61.10388971579026</v>
      </c>
      <c r="BJ151">
        <f t="shared" si="136"/>
        <v>0</v>
      </c>
      <c r="BK151">
        <f t="shared" si="152"/>
        <v>0</v>
      </c>
      <c r="BM151">
        <f t="shared" si="153"/>
        <v>-3.9199768771202064</v>
      </c>
      <c r="BN151">
        <f t="shared" si="137"/>
        <v>-170.90673123318948</v>
      </c>
      <c r="BQ151" s="56">
        <f t="shared" si="154"/>
        <v>12.576024112622903</v>
      </c>
      <c r="BR151" s="59"/>
      <c r="BS151" s="59"/>
      <c r="BT151" s="59">
        <v>2570.3960000000002</v>
      </c>
      <c r="BU151" s="59">
        <v>7.31271</v>
      </c>
      <c r="BV151" s="59">
        <v>-251.702</v>
      </c>
      <c r="BW151" s="61"/>
      <c r="BY151" s="59"/>
      <c r="BZ151" s="59"/>
      <c r="CA151" s="59"/>
      <c r="CC151" s="59"/>
    </row>
    <row r="152" spans="1:81" x14ac:dyDescent="0.2">
      <c r="A152">
        <f t="shared" si="106"/>
        <v>59000</v>
      </c>
      <c r="B152">
        <f t="shared" si="138"/>
        <v>59</v>
      </c>
      <c r="C152">
        <f t="shared" si="107"/>
        <v>1.0006868859506788</v>
      </c>
      <c r="D152">
        <f t="shared" si="108"/>
        <v>3.7053825823377726E-2</v>
      </c>
      <c r="F152">
        <f t="shared" si="109"/>
        <v>4.1683472690159165E-2</v>
      </c>
      <c r="G152">
        <f t="shared" si="110"/>
        <v>0.12085579464627427</v>
      </c>
      <c r="H152">
        <f t="shared" si="111"/>
        <v>-3.0207368553537259</v>
      </c>
      <c r="J152">
        <f t="shared" si="112"/>
        <v>15</v>
      </c>
      <c r="M152">
        <f t="shared" si="113"/>
        <v>1.3521510834183457E-2</v>
      </c>
      <c r="N152">
        <f t="shared" si="114"/>
        <v>-1.5707963250000001</v>
      </c>
      <c r="O152">
        <f t="shared" si="115"/>
        <v>6.7472584301191034</v>
      </c>
      <c r="P152">
        <f t="shared" si="116"/>
        <v>1.422039964506262</v>
      </c>
      <c r="Q152">
        <f t="shared" si="117"/>
        <v>7.0919167361380708</v>
      </c>
      <c r="R152">
        <f t="shared" si="118"/>
        <v>1.4293192331984585</v>
      </c>
      <c r="S152">
        <f t="shared" si="119"/>
        <v>0.99989226571141532</v>
      </c>
      <c r="T152">
        <f t="shared" si="120"/>
        <v>-1.4678979738818706E-2</v>
      </c>
      <c r="U152">
        <f t="shared" si="121"/>
        <v>0.94350567934110263</v>
      </c>
      <c r="V152">
        <f t="shared" si="122"/>
        <v>-0.33774078093672694</v>
      </c>
      <c r="X152">
        <f t="shared" si="139"/>
        <v>-8.3606543676131153</v>
      </c>
      <c r="Y152">
        <f t="shared" si="123"/>
        <v>-117.77376202806276</v>
      </c>
      <c r="Z152">
        <f t="shared" si="140"/>
        <v>62.226237971937238</v>
      </c>
      <c r="AC152">
        <v>1</v>
      </c>
      <c r="AD152">
        <f t="shared" si="124"/>
        <v>6.6727427886000008</v>
      </c>
      <c r="AE152">
        <f t="shared" si="125"/>
        <v>-2.4736386846007396E-3</v>
      </c>
      <c r="AF152">
        <f t="shared" si="126"/>
        <v>7.0434507212999995E-3</v>
      </c>
      <c r="AG152">
        <f t="shared" si="141"/>
        <v>798.96332767714318</v>
      </c>
      <c r="AH152">
        <f t="shared" si="142"/>
        <v>-422.56937865963772</v>
      </c>
      <c r="AJ152">
        <f t="shared" si="127"/>
        <v>10500</v>
      </c>
      <c r="AK152">
        <f t="shared" si="128"/>
        <v>154.14035841666004</v>
      </c>
      <c r="AL152">
        <v>1</v>
      </c>
      <c r="AM152">
        <f t="shared" si="129"/>
        <v>7.0210599621649212</v>
      </c>
      <c r="AN152">
        <f t="shared" si="143"/>
        <v>230.28459151532428</v>
      </c>
      <c r="AO152">
        <f t="shared" si="144"/>
        <v>-1462.701566975087</v>
      </c>
      <c r="AQ152">
        <f t="shared" si="130"/>
        <v>0.71813285457809695</v>
      </c>
      <c r="AR152">
        <f t="shared" si="131"/>
        <v>-84.739676840215438</v>
      </c>
      <c r="AT152">
        <f t="shared" si="156"/>
        <v>-35234.630774980324</v>
      </c>
      <c r="AU152">
        <f t="shared" si="157"/>
        <v>-68007.355148698407</v>
      </c>
      <c r="AV152">
        <f t="shared" si="145"/>
        <v>-2.0488190966172874</v>
      </c>
      <c r="AW152">
        <f t="shared" si="146"/>
        <v>-122971.28722326853</v>
      </c>
      <c r="AX152">
        <f t="shared" si="147"/>
        <v>-23082.90492766225</v>
      </c>
      <c r="AY152">
        <f t="shared" si="155"/>
        <v>-2.9560421214394061</v>
      </c>
      <c r="BA152">
        <f t="shared" si="132"/>
        <v>0.6121609213119501</v>
      </c>
      <c r="BB152">
        <f t="shared" si="148"/>
        <v>-4.2626879606436869</v>
      </c>
      <c r="BC152">
        <f t="shared" si="149"/>
        <v>0.9072230248221187</v>
      </c>
      <c r="BD152">
        <f t="shared" si="133"/>
        <v>-128.01994954120443</v>
      </c>
      <c r="BF152">
        <f t="shared" si="134"/>
        <v>-8.3356207463002203</v>
      </c>
      <c r="BG152">
        <f t="shared" si="135"/>
        <v>-118.97239473344236</v>
      </c>
      <c r="BH152">
        <f t="shared" si="150"/>
        <v>61.027605266557643</v>
      </c>
      <c r="BI152">
        <f t="shared" si="151"/>
        <v>61.027605266557643</v>
      </c>
      <c r="BJ152">
        <f t="shared" si="136"/>
        <v>0</v>
      </c>
      <c r="BK152">
        <f t="shared" si="152"/>
        <v>0</v>
      </c>
      <c r="BM152">
        <f t="shared" si="153"/>
        <v>-4.0729327856565316</v>
      </c>
      <c r="BN152">
        <f t="shared" si="137"/>
        <v>-170.95244519223797</v>
      </c>
      <c r="BQ152" s="56">
        <f t="shared" si="154"/>
        <v>12.63927283964145</v>
      </c>
      <c r="BR152" s="59"/>
      <c r="BS152" s="59"/>
      <c r="BT152" s="59">
        <v>2630.268</v>
      </c>
      <c r="BU152" s="59">
        <v>7.13504</v>
      </c>
      <c r="BV152" s="59">
        <v>-251.40100000000001</v>
      </c>
      <c r="BW152" s="61"/>
      <c r="BY152" s="59"/>
      <c r="BZ152" s="59"/>
      <c r="CA152" s="59"/>
      <c r="CC152" s="59"/>
    </row>
    <row r="153" spans="1:81" x14ac:dyDescent="0.2">
      <c r="A153">
        <f t="shared" si="106"/>
        <v>59500</v>
      </c>
      <c r="B153">
        <f t="shared" si="138"/>
        <v>59.5</v>
      </c>
      <c r="C153">
        <f t="shared" si="107"/>
        <v>1.0006985733356695</v>
      </c>
      <c r="D153">
        <f t="shared" si="108"/>
        <v>3.7367550290517172E-2</v>
      </c>
      <c r="F153">
        <f t="shared" si="109"/>
        <v>4.09618978103636E-2</v>
      </c>
      <c r="G153">
        <f t="shared" si="110"/>
        <v>0.11976490955703833</v>
      </c>
      <c r="H153">
        <f t="shared" si="111"/>
        <v>-3.0218277404429621</v>
      </c>
      <c r="J153">
        <f t="shared" si="112"/>
        <v>15</v>
      </c>
      <c r="M153">
        <f t="shared" si="113"/>
        <v>1.3407884692719731E-2</v>
      </c>
      <c r="N153">
        <f t="shared" si="114"/>
        <v>-1.5707963250000001</v>
      </c>
      <c r="O153">
        <f t="shared" si="115"/>
        <v>6.803187745743327</v>
      </c>
      <c r="P153">
        <f t="shared" si="116"/>
        <v>1.4232718850178159</v>
      </c>
      <c r="Q153">
        <f t="shared" si="117"/>
        <v>7.1508276845300944</v>
      </c>
      <c r="R153">
        <f t="shared" si="118"/>
        <v>1.4304925109449349</v>
      </c>
      <c r="S153">
        <f t="shared" si="119"/>
        <v>0.99989043227058294</v>
      </c>
      <c r="T153">
        <f t="shared" si="120"/>
        <v>-1.4803359775640798E-2</v>
      </c>
      <c r="U153">
        <f t="shared" si="121"/>
        <v>0.94262527686399511</v>
      </c>
      <c r="V153">
        <f t="shared" si="122"/>
        <v>-0.34038777448985674</v>
      </c>
      <c r="X153">
        <f t="shared" si="139"/>
        <v>-8.4500972195203712</v>
      </c>
      <c r="Y153">
        <f t="shared" si="123"/>
        <v>-117.83927035286845</v>
      </c>
      <c r="Z153">
        <f t="shared" si="140"/>
        <v>62.160729647131546</v>
      </c>
      <c r="AC153">
        <v>1</v>
      </c>
      <c r="AD153">
        <f t="shared" si="124"/>
        <v>6.7292914563000004</v>
      </c>
      <c r="AE153">
        <f t="shared" si="125"/>
        <v>-2.5157424168795657E-3</v>
      </c>
      <c r="AF153">
        <f t="shared" si="126"/>
        <v>7.1031409816499991E-3</v>
      </c>
      <c r="AG153">
        <f t="shared" si="141"/>
        <v>797.47296863398151</v>
      </c>
      <c r="AH153">
        <f t="shared" si="142"/>
        <v>-423.22637003454935</v>
      </c>
      <c r="AJ153">
        <f t="shared" si="127"/>
        <v>10500</v>
      </c>
      <c r="AK153">
        <f t="shared" si="128"/>
        <v>155.44663264053003</v>
      </c>
      <c r="AL153">
        <v>1</v>
      </c>
      <c r="AM153">
        <f t="shared" si="129"/>
        <v>7.0805604703188614</v>
      </c>
      <c r="AN153">
        <f t="shared" si="143"/>
        <v>226.86613457019143</v>
      </c>
      <c r="AO153">
        <f t="shared" si="144"/>
        <v>-1450.8927518512066</v>
      </c>
      <c r="AQ153">
        <f t="shared" si="130"/>
        <v>0.70611495551475778</v>
      </c>
      <c r="AR153">
        <f t="shared" si="131"/>
        <v>-84.02767970625618</v>
      </c>
      <c r="AT153">
        <f t="shared" si="156"/>
        <v>-34999.622274733367</v>
      </c>
      <c r="AU153">
        <f t="shared" si="157"/>
        <v>-67308.649652223103</v>
      </c>
      <c r="AV153">
        <f t="shared" si="145"/>
        <v>-2.050305379514187</v>
      </c>
      <c r="AW153">
        <f t="shared" si="146"/>
        <v>-120947.18699838642</v>
      </c>
      <c r="AX153">
        <f t="shared" si="147"/>
        <v>-22588.182824979423</v>
      </c>
      <c r="AY153">
        <f t="shared" si="155"/>
        <v>-2.9569589786926724</v>
      </c>
      <c r="BA153">
        <f t="shared" si="132"/>
        <v>0.61659234785039996</v>
      </c>
      <c r="BB153">
        <f t="shared" si="148"/>
        <v>-4.2000373867723564</v>
      </c>
      <c r="BC153">
        <f t="shared" si="149"/>
        <v>0.90665359917848543</v>
      </c>
      <c r="BD153">
        <f t="shared" si="133"/>
        <v>-128.05257522736841</v>
      </c>
      <c r="BF153">
        <f t="shared" si="134"/>
        <v>-8.4245451975293992</v>
      </c>
      <c r="BG153">
        <f t="shared" si="135"/>
        <v>-119.04954844330713</v>
      </c>
      <c r="BH153">
        <f t="shared" si="150"/>
        <v>60.950451556692869</v>
      </c>
      <c r="BI153">
        <f t="shared" si="151"/>
        <v>60.950451556692869</v>
      </c>
      <c r="BJ153">
        <f t="shared" si="136"/>
        <v>0</v>
      </c>
      <c r="BK153">
        <f t="shared" si="152"/>
        <v>0</v>
      </c>
      <c r="BM153">
        <f t="shared" si="153"/>
        <v>-4.2245078107570428</v>
      </c>
      <c r="BN153">
        <f t="shared" si="137"/>
        <v>-170.99697321593874</v>
      </c>
      <c r="BQ153" s="56">
        <f t="shared" si="154"/>
        <v>12.70192341351278</v>
      </c>
      <c r="BR153" s="59"/>
      <c r="BS153" s="59"/>
      <c r="BT153" s="59">
        <v>2691.5349999999999</v>
      </c>
      <c r="BU153" s="59">
        <v>6.8809300000000002</v>
      </c>
      <c r="BV153" s="59">
        <v>-251.244</v>
      </c>
      <c r="BW153" s="61"/>
      <c r="BY153" s="59"/>
      <c r="BZ153" s="59"/>
      <c r="CA153" s="59"/>
      <c r="CC153" s="59"/>
    </row>
    <row r="154" spans="1:81" x14ac:dyDescent="0.2">
      <c r="A154">
        <f t="shared" si="106"/>
        <v>60000</v>
      </c>
      <c r="B154">
        <f t="shared" si="138"/>
        <v>60</v>
      </c>
      <c r="C154">
        <f t="shared" si="107"/>
        <v>1.0007103592101507</v>
      </c>
      <c r="D154">
        <f t="shared" si="108"/>
        <v>3.7681267398748032E-2</v>
      </c>
      <c r="F154">
        <f t="shared" si="109"/>
        <v>4.0259092484582391E-2</v>
      </c>
      <c r="G154">
        <f t="shared" si="110"/>
        <v>0.11869414252453515</v>
      </c>
      <c r="H154">
        <f t="shared" si="111"/>
        <v>-3.0228985074754648</v>
      </c>
      <c r="J154">
        <f t="shared" si="112"/>
        <v>15</v>
      </c>
      <c r="M154">
        <f t="shared" si="113"/>
        <v>1.3296152320280401E-2</v>
      </c>
      <c r="N154">
        <f t="shared" si="114"/>
        <v>-1.5707963250000001</v>
      </c>
      <c r="O154">
        <f t="shared" si="115"/>
        <v>6.8591272176923734</v>
      </c>
      <c r="P154">
        <f t="shared" si="116"/>
        <v>1.4244837135384123</v>
      </c>
      <c r="Q154">
        <f t="shared" si="117"/>
        <v>7.2097483157395974</v>
      </c>
      <c r="R154">
        <f t="shared" si="118"/>
        <v>1.4316466133712731</v>
      </c>
      <c r="S154">
        <f t="shared" si="119"/>
        <v>0.99988858336788933</v>
      </c>
      <c r="T154">
        <f t="shared" si="120"/>
        <v>-1.4927739354403516E-2</v>
      </c>
      <c r="U154">
        <f t="shared" si="121"/>
        <v>0.94173993599256167</v>
      </c>
      <c r="V154">
        <f t="shared" si="122"/>
        <v>-0.34302981426025064</v>
      </c>
      <c r="X154">
        <f t="shared" si="139"/>
        <v>-8.5387764644984117</v>
      </c>
      <c r="Y154">
        <f t="shared" si="123"/>
        <v>-117.90559241367701</v>
      </c>
      <c r="Z154">
        <f t="shared" si="140"/>
        <v>62.094407586322987</v>
      </c>
      <c r="AC154">
        <v>1</v>
      </c>
      <c r="AD154">
        <f t="shared" si="124"/>
        <v>6.7858401240000008</v>
      </c>
      <c r="AE154">
        <f t="shared" si="125"/>
        <v>-2.5582014549160189E-3</v>
      </c>
      <c r="AF154">
        <f t="shared" si="126"/>
        <v>7.1628312420000005E-3</v>
      </c>
      <c r="AG154">
        <f t="shared" si="141"/>
        <v>795.97565285878329</v>
      </c>
      <c r="AH154">
        <f t="shared" si="142"/>
        <v>-423.89189004169305</v>
      </c>
      <c r="AJ154">
        <f t="shared" si="127"/>
        <v>10500</v>
      </c>
      <c r="AK154">
        <f t="shared" si="128"/>
        <v>156.75290686440002</v>
      </c>
      <c r="AL154">
        <v>1</v>
      </c>
      <c r="AM154">
        <f t="shared" si="129"/>
        <v>7.1400609784728006</v>
      </c>
      <c r="AN154">
        <f t="shared" si="143"/>
        <v>223.53059023967384</v>
      </c>
      <c r="AO154">
        <f t="shared" si="144"/>
        <v>-1439.2691380008882</v>
      </c>
      <c r="AQ154">
        <f t="shared" si="130"/>
        <v>0.69439622248454969</v>
      </c>
      <c r="AR154">
        <f t="shared" si="131"/>
        <v>-83.327546698145966</v>
      </c>
      <c r="AT154">
        <f t="shared" si="156"/>
        <v>-34769.148775879723</v>
      </c>
      <c r="AU154">
        <f t="shared" si="157"/>
        <v>-66621.04731136428</v>
      </c>
      <c r="AV154">
        <f t="shared" si="145"/>
        <v>-2.0518056138714957</v>
      </c>
      <c r="AW154">
        <f t="shared" si="146"/>
        <v>-118972.12607124164</v>
      </c>
      <c r="AX154">
        <f t="shared" si="147"/>
        <v>-22109.027775338836</v>
      </c>
      <c r="AY154">
        <f t="shared" si="155"/>
        <v>-2.9578549180715945</v>
      </c>
      <c r="BA154">
        <f t="shared" si="132"/>
        <v>0.62101367225558435</v>
      </c>
      <c r="BB154">
        <f t="shared" si="148"/>
        <v>-4.1379767655572284</v>
      </c>
      <c r="BC154">
        <f t="shared" si="149"/>
        <v>0.90604930420009877</v>
      </c>
      <c r="BD154">
        <f t="shared" si="133"/>
        <v>-128.08719877925046</v>
      </c>
      <c r="BF154">
        <f t="shared" si="134"/>
        <v>-8.5127040561740959</v>
      </c>
      <c r="BG154">
        <f t="shared" si="135"/>
        <v>-119.12754776078025</v>
      </c>
      <c r="BH154">
        <f t="shared" si="150"/>
        <v>60.872452239219754</v>
      </c>
      <c r="BI154">
        <f t="shared" si="151"/>
        <v>60.872452239219754</v>
      </c>
      <c r="BJ154">
        <f t="shared" si="136"/>
        <v>0</v>
      </c>
      <c r="BK154">
        <f t="shared" si="152"/>
        <v>0</v>
      </c>
      <c r="BM154">
        <f t="shared" si="153"/>
        <v>-4.3747272906168657</v>
      </c>
      <c r="BN154">
        <f t="shared" si="137"/>
        <v>-171.0403489815298</v>
      </c>
      <c r="BQ154" s="56">
        <f t="shared" si="154"/>
        <v>12.763984034727908</v>
      </c>
      <c r="BR154" s="59"/>
      <c r="BS154" s="59"/>
      <c r="BT154" s="59">
        <v>2754.2289999999998</v>
      </c>
      <c r="BU154" s="59">
        <v>6.7009400000000001</v>
      </c>
      <c r="BV154" s="59">
        <v>-251.05099999999999</v>
      </c>
      <c r="BW154" s="61"/>
      <c r="BY154" s="59"/>
      <c r="BZ154" s="59"/>
      <c r="CA154" s="59"/>
      <c r="CC154" s="59"/>
    </row>
    <row r="155" spans="1:81" x14ac:dyDescent="0.2">
      <c r="A155">
        <f t="shared" si="106"/>
        <v>60500</v>
      </c>
      <c r="B155">
        <f t="shared" si="138"/>
        <v>60.5</v>
      </c>
      <c r="C155">
        <f t="shared" si="107"/>
        <v>1.0007222435706429</v>
      </c>
      <c r="D155">
        <f t="shared" si="108"/>
        <v>3.7994977086580312E-2</v>
      </c>
      <c r="F155">
        <f t="shared" si="109"/>
        <v>3.9574405084325852E-2</v>
      </c>
      <c r="G155">
        <f t="shared" si="110"/>
        <v>0.11764292829319606</v>
      </c>
      <c r="H155">
        <f t="shared" si="111"/>
        <v>-3.0239497217068041</v>
      </c>
      <c r="J155">
        <f t="shared" si="112"/>
        <v>15</v>
      </c>
      <c r="M155">
        <f t="shared" si="113"/>
        <v>1.3186266763914448E-2</v>
      </c>
      <c r="N155">
        <f t="shared" si="114"/>
        <v>-1.5707963250000001</v>
      </c>
      <c r="O155">
        <f t="shared" si="115"/>
        <v>6.9150765994876568</v>
      </c>
      <c r="P155">
        <f t="shared" si="116"/>
        <v>1.4256759341534526</v>
      </c>
      <c r="Q155">
        <f t="shared" si="117"/>
        <v>7.2686783942969324</v>
      </c>
      <c r="R155">
        <f t="shared" si="118"/>
        <v>1.4327820037509866</v>
      </c>
      <c r="S155">
        <f t="shared" si="119"/>
        <v>0.99988671900359227</v>
      </c>
      <c r="T155">
        <f t="shared" si="120"/>
        <v>-1.505211847126104E-2</v>
      </c>
      <c r="U155">
        <f t="shared" si="121"/>
        <v>0.94084970765579834</v>
      </c>
      <c r="V155">
        <f t="shared" si="122"/>
        <v>-0.34566687736020851</v>
      </c>
      <c r="X155">
        <f t="shared" si="139"/>
        <v>-8.6267086445424042</v>
      </c>
      <c r="Y155">
        <f t="shared" si="123"/>
        <v>-117.97270500951348</v>
      </c>
      <c r="Z155">
        <f t="shared" si="140"/>
        <v>62.027294990486524</v>
      </c>
      <c r="AC155">
        <v>1</v>
      </c>
      <c r="AD155">
        <f t="shared" si="124"/>
        <v>6.8423887917000004</v>
      </c>
      <c r="AE155">
        <f t="shared" si="125"/>
        <v>-2.6010157987100997E-3</v>
      </c>
      <c r="AF155">
        <f t="shared" si="126"/>
        <v>7.2225215023500001E-3</v>
      </c>
      <c r="AG155">
        <f t="shared" si="141"/>
        <v>794.47148990666051</v>
      </c>
      <c r="AH155">
        <f t="shared" si="142"/>
        <v>-424.56542301386668</v>
      </c>
      <c r="AJ155">
        <f t="shared" si="127"/>
        <v>10500</v>
      </c>
      <c r="AK155">
        <f t="shared" si="128"/>
        <v>158.05918108827004</v>
      </c>
      <c r="AL155">
        <v>1</v>
      </c>
      <c r="AM155">
        <f t="shared" si="129"/>
        <v>7.1995614866267408</v>
      </c>
      <c r="AN155">
        <f t="shared" si="143"/>
        <v>220.27531603497971</v>
      </c>
      <c r="AO155">
        <f t="shared" si="144"/>
        <v>-1427.8265006917038</v>
      </c>
      <c r="AQ155">
        <f t="shared" si="130"/>
        <v>0.68296680781314023</v>
      </c>
      <c r="AR155">
        <f t="shared" si="131"/>
        <v>-82.638983745389979</v>
      </c>
      <c r="AT155">
        <f t="shared" si="156"/>
        <v>-34543.057433937451</v>
      </c>
      <c r="AU155">
        <f t="shared" si="157"/>
        <v>-65944.280632235896</v>
      </c>
      <c r="AV155">
        <f t="shared" si="145"/>
        <v>-2.0533193221368977</v>
      </c>
      <c r="AW155">
        <f t="shared" si="146"/>
        <v>-117044.54509839299</v>
      </c>
      <c r="AX155">
        <f t="shared" si="147"/>
        <v>-21644.822657351644</v>
      </c>
      <c r="AY155">
        <f t="shared" si="155"/>
        <v>-2.9587304310699052</v>
      </c>
      <c r="BA155">
        <f t="shared" si="132"/>
        <v>0.62542479848161492</v>
      </c>
      <c r="BB155">
        <f t="shared" si="148"/>
        <v>-4.0764980541160565</v>
      </c>
      <c r="BC155">
        <f t="shared" si="149"/>
        <v>0.90541110893300747</v>
      </c>
      <c r="BD155">
        <f t="shared" si="133"/>
        <v>-128.1237646746018</v>
      </c>
      <c r="BF155">
        <f t="shared" si="134"/>
        <v>-8.6001139113154732</v>
      </c>
      <c r="BG155">
        <f t="shared" si="135"/>
        <v>-119.20636955389455</v>
      </c>
      <c r="BH155">
        <f t="shared" si="150"/>
        <v>60.793630446105453</v>
      </c>
      <c r="BI155">
        <f t="shared" si="151"/>
        <v>60.793630446105453</v>
      </c>
      <c r="BJ155">
        <f t="shared" si="136"/>
        <v>0</v>
      </c>
      <c r="BK155">
        <f t="shared" si="152"/>
        <v>0</v>
      </c>
      <c r="BM155">
        <f t="shared" si="153"/>
        <v>-4.5236158571994158</v>
      </c>
      <c r="BN155">
        <f t="shared" si="137"/>
        <v>-171.08260487929275</v>
      </c>
      <c r="BQ155" s="56">
        <f t="shared" si="154"/>
        <v>12.82546274616908</v>
      </c>
      <c r="BR155" s="59"/>
      <c r="BS155" s="59"/>
      <c r="BT155" s="59">
        <v>2818.3829999999998</v>
      </c>
      <c r="BU155" s="59">
        <v>6.5356199999999998</v>
      </c>
      <c r="BV155" s="59">
        <v>-250.48</v>
      </c>
      <c r="BW155" s="61"/>
      <c r="BY155" s="59"/>
      <c r="BZ155" s="59"/>
      <c r="CA155" s="59"/>
      <c r="CC155" s="59"/>
    </row>
    <row r="156" spans="1:81" x14ac:dyDescent="0.2">
      <c r="A156">
        <f t="shared" si="106"/>
        <v>61000</v>
      </c>
      <c r="B156">
        <f t="shared" si="138"/>
        <v>61</v>
      </c>
      <c r="C156">
        <f t="shared" si="107"/>
        <v>1.0007342264136372</v>
      </c>
      <c r="D156">
        <f t="shared" si="108"/>
        <v>3.8308679292532788E-2</v>
      </c>
      <c r="F156">
        <f t="shared" si="109"/>
        <v>3.8907212264006528E-2</v>
      </c>
      <c r="G156">
        <f t="shared" si="110"/>
        <v>0.11661072299111476</v>
      </c>
      <c r="H156">
        <f t="shared" si="111"/>
        <v>-3.0249819270088856</v>
      </c>
      <c r="J156">
        <f t="shared" si="112"/>
        <v>15</v>
      </c>
      <c r="M156">
        <f t="shared" si="113"/>
        <v>1.307818261011187E-2</v>
      </c>
      <c r="N156">
        <f t="shared" si="114"/>
        <v>-1.5707963250000001</v>
      </c>
      <c r="O156">
        <f t="shared" si="115"/>
        <v>6.971035652520543</v>
      </c>
      <c r="P156">
        <f t="shared" si="116"/>
        <v>1.4268490156317351</v>
      </c>
      <c r="Q156">
        <f t="shared" si="117"/>
        <v>7.3276176922700644</v>
      </c>
      <c r="R156">
        <f t="shared" si="118"/>
        <v>1.4338991306489082</v>
      </c>
      <c r="S156">
        <f t="shared" si="119"/>
        <v>0.99988483917795101</v>
      </c>
      <c r="T156">
        <f t="shared" si="120"/>
        <v>-1.5176497122367629E-2</v>
      </c>
      <c r="U156">
        <f t="shared" si="121"/>
        <v>0.93995464279215224</v>
      </c>
      <c r="V156">
        <f t="shared" si="122"/>
        <v>-0.34829894126503447</v>
      </c>
      <c r="X156">
        <f t="shared" si="139"/>
        <v>-8.7139097758190118</v>
      </c>
      <c r="Y156">
        <f t="shared" si="123"/>
        <v>-118.04058545532951</v>
      </c>
      <c r="Z156">
        <f t="shared" si="140"/>
        <v>61.959414544670494</v>
      </c>
      <c r="AC156">
        <v>1</v>
      </c>
      <c r="AD156">
        <f t="shared" si="124"/>
        <v>6.8989374594000008</v>
      </c>
      <c r="AE156">
        <f t="shared" si="125"/>
        <v>-2.6441854482618077E-3</v>
      </c>
      <c r="AF156">
        <f t="shared" si="126"/>
        <v>7.2822117626999998E-3</v>
      </c>
      <c r="AG156">
        <f t="shared" si="141"/>
        <v>792.96058915266838</v>
      </c>
      <c r="AH156">
        <f t="shared" si="142"/>
        <v>-425.24647068687142</v>
      </c>
      <c r="AJ156">
        <f t="shared" si="127"/>
        <v>10500</v>
      </c>
      <c r="AK156">
        <f t="shared" si="128"/>
        <v>159.36545531214003</v>
      </c>
      <c r="AL156">
        <v>1</v>
      </c>
      <c r="AM156">
        <f t="shared" si="129"/>
        <v>7.25906199478068</v>
      </c>
      <c r="AN156">
        <f t="shared" si="143"/>
        <v>217.09777321912367</v>
      </c>
      <c r="AO156">
        <f t="shared" si="144"/>
        <v>-1416.5607394143153</v>
      </c>
      <c r="AQ156">
        <f t="shared" si="130"/>
        <v>0.67181726570372857</v>
      </c>
      <c r="AR156">
        <f t="shared" si="131"/>
        <v>-81.961706415854891</v>
      </c>
      <c r="AT156">
        <f t="shared" si="156"/>
        <v>-34321.201770000436</v>
      </c>
      <c r="AU156">
        <f t="shared" si="157"/>
        <v>-65278.090928661353</v>
      </c>
      <c r="AV156">
        <f t="shared" si="145"/>
        <v>-2.05484604147318</v>
      </c>
      <c r="AW156">
        <f t="shared" si="146"/>
        <v>-115162.94578773317</v>
      </c>
      <c r="AX156">
        <f t="shared" si="147"/>
        <v>-21194.979575055386</v>
      </c>
      <c r="AY156">
        <f t="shared" si="155"/>
        <v>-2.9595859935699864</v>
      </c>
      <c r="BA156">
        <f t="shared" si="132"/>
        <v>0.62982563300263572</v>
      </c>
      <c r="BB156">
        <f t="shared" si="148"/>
        <v>-4.015593363507997</v>
      </c>
      <c r="BC156">
        <f t="shared" si="149"/>
        <v>0.90473995209680647</v>
      </c>
      <c r="BD156">
        <f t="shared" si="133"/>
        <v>-128.16221912875142</v>
      </c>
      <c r="BF156">
        <f t="shared" si="134"/>
        <v>-8.6867908261476323</v>
      </c>
      <c r="BG156">
        <f t="shared" si="135"/>
        <v>-119.28599120306647</v>
      </c>
      <c r="BH156">
        <f t="shared" si="150"/>
        <v>60.714008796933527</v>
      </c>
      <c r="BI156">
        <f t="shared" si="151"/>
        <v>60.714008796933527</v>
      </c>
      <c r="BJ156">
        <f t="shared" si="136"/>
        <v>0</v>
      </c>
      <c r="BK156">
        <f t="shared" si="152"/>
        <v>0</v>
      </c>
      <c r="BM156">
        <f t="shared" si="153"/>
        <v>-4.6711974626396362</v>
      </c>
      <c r="BN156">
        <f t="shared" si="137"/>
        <v>-171.12377207431507</v>
      </c>
      <c r="BQ156" s="56">
        <f t="shared" si="154"/>
        <v>12.886367436777139</v>
      </c>
      <c r="BR156" s="59"/>
      <c r="BS156" s="59"/>
      <c r="BT156" s="59">
        <v>2884.0320000000002</v>
      </c>
      <c r="BU156" s="59">
        <v>6.3265200000000004</v>
      </c>
      <c r="BV156" s="59">
        <v>-250.202</v>
      </c>
      <c r="BW156" s="61"/>
      <c r="BY156" s="59"/>
      <c r="BZ156" s="59"/>
      <c r="CA156" s="59"/>
      <c r="CC156" s="59"/>
    </row>
    <row r="157" spans="1:81" x14ac:dyDescent="0.2">
      <c r="A157">
        <f t="shared" si="106"/>
        <v>61500</v>
      </c>
      <c r="B157">
        <f t="shared" si="138"/>
        <v>61.5</v>
      </c>
      <c r="C157">
        <f t="shared" si="107"/>
        <v>1.000746307735596</v>
      </c>
      <c r="D157">
        <f t="shared" si="108"/>
        <v>3.8622373955133051E-2</v>
      </c>
      <c r="F157">
        <f t="shared" si="109"/>
        <v>3.8256917488931175E-2</v>
      </c>
      <c r="G157">
        <f t="shared" si="110"/>
        <v>0.11559700311418851</v>
      </c>
      <c r="H157">
        <f t="shared" si="111"/>
        <v>-3.0259956468858116</v>
      </c>
      <c r="J157">
        <f t="shared" si="112"/>
        <v>15</v>
      </c>
      <c r="M157">
        <f t="shared" si="113"/>
        <v>1.297185592222478E-2</v>
      </c>
      <c r="N157">
        <f t="shared" si="114"/>
        <v>-1.5707963250000001</v>
      </c>
      <c r="O157">
        <f t="shared" si="115"/>
        <v>7.0270041457423762</v>
      </c>
      <c r="P157">
        <f t="shared" si="116"/>
        <v>1.4280034120221059</v>
      </c>
      <c r="Q157">
        <f t="shared" si="117"/>
        <v>7.3865659889667707</v>
      </c>
      <c r="R157">
        <f t="shared" si="118"/>
        <v>1.4349984284965496</v>
      </c>
      <c r="S157">
        <f t="shared" si="119"/>
        <v>0.99988294389122767</v>
      </c>
      <c r="T157">
        <f t="shared" si="120"/>
        <v>-1.5300875303877635E-2</v>
      </c>
      <c r="U157">
        <f t="shared" si="121"/>
        <v>0.93905479234306999</v>
      </c>
      <c r="V157">
        <f t="shared" si="122"/>
        <v>-0.35092598381241413</v>
      </c>
      <c r="X157">
        <f t="shared" si="139"/>
        <v>-8.8003953702549378</v>
      </c>
      <c r="Y157">
        <f t="shared" si="123"/>
        <v>-118.10921157302069</v>
      </c>
      <c r="Z157">
        <f t="shared" si="140"/>
        <v>61.890788426979313</v>
      </c>
      <c r="AC157">
        <v>1</v>
      </c>
      <c r="AD157">
        <f t="shared" si="124"/>
        <v>6.9554861271000004</v>
      </c>
      <c r="AE157">
        <f t="shared" si="125"/>
        <v>-2.6877104035711429E-3</v>
      </c>
      <c r="AF157">
        <f t="shared" si="126"/>
        <v>7.3419020230499994E-3</v>
      </c>
      <c r="AG157">
        <f t="shared" si="141"/>
        <v>791.44305977641432</v>
      </c>
      <c r="AH157">
        <f t="shared" si="142"/>
        <v>-425.93455153411946</v>
      </c>
      <c r="AJ157">
        <f t="shared" si="127"/>
        <v>10500</v>
      </c>
      <c r="AK157">
        <f t="shared" si="128"/>
        <v>160.67172953601002</v>
      </c>
      <c r="AL157">
        <v>1</v>
      </c>
      <c r="AM157">
        <f t="shared" si="129"/>
        <v>7.3185625029346202</v>
      </c>
      <c r="AN157">
        <f t="shared" si="143"/>
        <v>213.99552198933043</v>
      </c>
      <c r="AO157">
        <f t="shared" si="144"/>
        <v>-1405.4678734910244</v>
      </c>
      <c r="AQ157">
        <f t="shared" si="130"/>
        <v>0.66093853271645742</v>
      </c>
      <c r="AR157">
        <f t="shared" si="131"/>
        <v>-81.295439524124262</v>
      </c>
      <c r="AT157">
        <f t="shared" si="156"/>
        <v>-34103.44136081975</v>
      </c>
      <c r="AU157">
        <f t="shared" si="157"/>
        <v>-64622.227960365562</v>
      </c>
      <c r="AV157">
        <f t="shared" si="145"/>
        <v>-2.0563853232001579</v>
      </c>
      <c r="AW157">
        <f t="shared" si="146"/>
        <v>-113325.88807325649</v>
      </c>
      <c r="AX157">
        <f t="shared" si="147"/>
        <v>-20758.938255878449</v>
      </c>
      <c r="AY157">
        <f t="shared" si="155"/>
        <v>-2.960422066457026</v>
      </c>
      <c r="BA157">
        <f t="shared" si="132"/>
        <v>0.63421608474775792</v>
      </c>
      <c r="BB157">
        <f t="shared" si="148"/>
        <v>-3.9552549551470251</v>
      </c>
      <c r="BC157">
        <f t="shared" si="149"/>
        <v>0.90403674325686811</v>
      </c>
      <c r="BD157">
        <f t="shared" si="133"/>
        <v>-128.2025100274422</v>
      </c>
      <c r="BF157">
        <f t="shared" si="134"/>
        <v>-8.7727503595595522</v>
      </c>
      <c r="BG157">
        <f t="shared" si="135"/>
        <v>-119.3663905921367</v>
      </c>
      <c r="BH157">
        <f t="shared" si="150"/>
        <v>60.633609407863304</v>
      </c>
      <c r="BI157">
        <f t="shared" si="151"/>
        <v>60.633609407863304</v>
      </c>
      <c r="BJ157">
        <f t="shared" si="136"/>
        <v>0</v>
      </c>
      <c r="BK157">
        <f t="shared" si="152"/>
        <v>0</v>
      </c>
      <c r="BM157">
        <f t="shared" si="153"/>
        <v>-4.8174954044125258</v>
      </c>
      <c r="BN157">
        <f t="shared" si="137"/>
        <v>-171.16388056469449</v>
      </c>
      <c r="BQ157" s="56">
        <f t="shared" si="154"/>
        <v>12.946705845138112</v>
      </c>
      <c r="BR157" s="59"/>
      <c r="BS157" s="59"/>
      <c r="BT157" s="59">
        <v>2951.2089999999998</v>
      </c>
      <c r="BU157" s="59">
        <v>6.1830800000000004</v>
      </c>
      <c r="BV157" s="59">
        <v>-249.92599999999999</v>
      </c>
      <c r="BW157" s="61"/>
      <c r="BY157" s="59"/>
      <c r="BZ157" s="59"/>
      <c r="CA157" s="59"/>
      <c r="CC157" s="59"/>
    </row>
    <row r="158" spans="1:81" x14ac:dyDescent="0.2">
      <c r="A158">
        <f t="shared" si="106"/>
        <v>62000</v>
      </c>
      <c r="B158">
        <f t="shared" si="138"/>
        <v>62</v>
      </c>
      <c r="C158">
        <f t="shared" si="107"/>
        <v>1.0007584875329527</v>
      </c>
      <c r="D158">
        <f t="shared" si="108"/>
        <v>3.8936061012917578E-2</v>
      </c>
      <c r="F158">
        <f t="shared" si="109"/>
        <v>3.7622949652527604E-2</v>
      </c>
      <c r="G158">
        <f t="shared" si="110"/>
        <v>0.11460126456819598</v>
      </c>
      <c r="H158">
        <f t="shared" si="111"/>
        <v>-3.026991385431804</v>
      </c>
      <c r="J158">
        <f t="shared" si="112"/>
        <v>15</v>
      </c>
      <c r="M158">
        <f t="shared" si="113"/>
        <v>1.2867244180916518E-2</v>
      </c>
      <c r="N158">
        <f t="shared" si="114"/>
        <v>-1.5707963250000001</v>
      </c>
      <c r="O158">
        <f t="shared" si="115"/>
        <v>7.0829818553689563</v>
      </c>
      <c r="P158">
        <f t="shared" si="116"/>
        <v>1.4291395632226436</v>
      </c>
      <c r="Q158">
        <f t="shared" si="117"/>
        <v>7.4455230706507916</v>
      </c>
      <c r="R158">
        <f t="shared" si="118"/>
        <v>1.4360803181408412</v>
      </c>
      <c r="S158">
        <f t="shared" si="119"/>
        <v>0.99988103314368582</v>
      </c>
      <c r="T158">
        <f t="shared" si="120"/>
        <v>-1.5425253011945497E-2</v>
      </c>
      <c r="U158">
        <f t="shared" si="121"/>
        <v>0.93815020724661624</v>
      </c>
      <c r="V158">
        <f t="shared" si="122"/>
        <v>-0.35354798320174147</v>
      </c>
      <c r="X158">
        <f t="shared" si="139"/>
        <v>-8.8861804560401563</v>
      </c>
      <c r="Y158">
        <f t="shared" si="123"/>
        <v>-118.17856168222059</v>
      </c>
      <c r="Z158">
        <f t="shared" si="140"/>
        <v>61.82143831777941</v>
      </c>
      <c r="AC158">
        <v>1</v>
      </c>
      <c r="AD158">
        <f t="shared" si="124"/>
        <v>7.0120347948000008</v>
      </c>
      <c r="AE158">
        <f t="shared" si="125"/>
        <v>-2.7315906646381053E-3</v>
      </c>
      <c r="AF158">
        <f t="shared" si="126"/>
        <v>7.401592283399999E-3</v>
      </c>
      <c r="AG158">
        <f t="shared" si="141"/>
        <v>789.91901074688531</v>
      </c>
      <c r="AH158">
        <f t="shared" si="142"/>
        <v>-426.62920013284224</v>
      </c>
      <c r="AJ158">
        <f t="shared" si="127"/>
        <v>10500</v>
      </c>
      <c r="AK158">
        <f t="shared" si="128"/>
        <v>161.97800375988001</v>
      </c>
      <c r="AL158">
        <v>1</v>
      </c>
      <c r="AM158">
        <f t="shared" si="129"/>
        <v>7.3780630110885603</v>
      </c>
      <c r="AN158">
        <f t="shared" si="143"/>
        <v>210.96621691662477</v>
      </c>
      <c r="AO158">
        <f t="shared" si="144"/>
        <v>-1394.5440378619553</v>
      </c>
      <c r="AQ158">
        <f t="shared" si="130"/>
        <v>0.65032190934512579</v>
      </c>
      <c r="AR158">
        <f t="shared" si="131"/>
        <v>-80.639916758795607</v>
      </c>
      <c r="AT158">
        <f t="shared" si="156"/>
        <v>-33889.641546287021</v>
      </c>
      <c r="AU158">
        <f t="shared" si="157"/>
        <v>-63976.449588831776</v>
      </c>
      <c r="AV158">
        <f t="shared" si="145"/>
        <v>-2.057936732262124</v>
      </c>
      <c r="AW158">
        <f t="shared" si="146"/>
        <v>-111531.98744003437</v>
      </c>
      <c r="AX158">
        <f t="shared" si="147"/>
        <v>-20336.164548042223</v>
      </c>
      <c r="AY158">
        <f t="shared" si="155"/>
        <v>-2.96123909620465</v>
      </c>
      <c r="BA158">
        <f t="shared" si="132"/>
        <v>0.63859606503887734</v>
      </c>
      <c r="BB158">
        <f t="shared" si="148"/>
        <v>-3.8954752372959378</v>
      </c>
      <c r="BC158">
        <f t="shared" si="149"/>
        <v>0.90330236394252594</v>
      </c>
      <c r="BD158">
        <f t="shared" si="133"/>
        <v>-128.24458686276381</v>
      </c>
      <c r="BF158">
        <f t="shared" si="134"/>
        <v>-8.8580075866318602</v>
      </c>
      <c r="BG158">
        <f t="shared" si="135"/>
        <v>-119.44754609918789</v>
      </c>
      <c r="BH158">
        <f t="shared" si="150"/>
        <v>60.552453900812111</v>
      </c>
      <c r="BI158">
        <f t="shared" si="151"/>
        <v>60.552453900812111</v>
      </c>
      <c r="BJ158">
        <f t="shared" si="136"/>
        <v>0</v>
      </c>
      <c r="BK158">
        <f t="shared" si="152"/>
        <v>0</v>
      </c>
      <c r="BM158">
        <f t="shared" si="153"/>
        <v>-4.9625323493359206</v>
      </c>
      <c r="BN158">
        <f t="shared" si="137"/>
        <v>-171.20295923642408</v>
      </c>
      <c r="BQ158" s="56">
        <f t="shared" si="154"/>
        <v>13.006485562989198</v>
      </c>
      <c r="BR158" s="59"/>
      <c r="BS158" s="59"/>
      <c r="BT158" s="59">
        <v>3019.9520000000002</v>
      </c>
      <c r="BU158" s="59">
        <v>6.0130600000000003</v>
      </c>
      <c r="BV158" s="59">
        <v>-249.65100000000001</v>
      </c>
      <c r="BW158" s="61"/>
      <c r="BY158" s="59"/>
      <c r="BZ158" s="59"/>
      <c r="CA158" s="59"/>
      <c r="CC158" s="59"/>
    </row>
    <row r="159" spans="1:81" x14ac:dyDescent="0.2">
      <c r="A159">
        <f t="shared" si="106"/>
        <v>62500</v>
      </c>
      <c r="B159">
        <f t="shared" si="138"/>
        <v>62.5</v>
      </c>
      <c r="C159">
        <f t="shared" si="107"/>
        <v>1.0007707658021121</v>
      </c>
      <c r="D159">
        <f t="shared" si="108"/>
        <v>3.9249740404431833E-2</v>
      </c>
      <c r="F159">
        <f t="shared" si="109"/>
        <v>3.7004761776639437E-2</v>
      </c>
      <c r="G159">
        <f t="shared" si="110"/>
        <v>0.11362302176496672</v>
      </c>
      <c r="H159">
        <f t="shared" si="111"/>
        <v>-3.0279696282350335</v>
      </c>
      <c r="J159">
        <f t="shared" si="112"/>
        <v>15</v>
      </c>
      <c r="M159">
        <f t="shared" si="113"/>
        <v>1.2764306227469185E-2</v>
      </c>
      <c r="N159">
        <f t="shared" si="114"/>
        <v>-1.5707963250000001</v>
      </c>
      <c r="O159">
        <f t="shared" si="115"/>
        <v>7.138968564598704</v>
      </c>
      <c r="P159">
        <f t="shared" si="116"/>
        <v>1.4302578955238257</v>
      </c>
      <c r="Q159">
        <f t="shared" si="117"/>
        <v>7.504488730271162</v>
      </c>
      <c r="R159">
        <f t="shared" si="118"/>
        <v>1.4371452073676712</v>
      </c>
      <c r="S159">
        <f t="shared" si="119"/>
        <v>0.99987910693559146</v>
      </c>
      <c r="T159">
        <f t="shared" si="120"/>
        <v>-1.5549630242725741E-2</v>
      </c>
      <c r="U159">
        <f t="shared" si="121"/>
        <v>0.93724093843115719</v>
      </c>
      <c r="V159">
        <f t="shared" si="122"/>
        <v>-0.35616491799339517</v>
      </c>
      <c r="X159">
        <f t="shared" si="139"/>
        <v>-8.9712795971101258</v>
      </c>
      <c r="Y159">
        <f t="shared" si="123"/>
        <v>-118.24861459092747</v>
      </c>
      <c r="Z159">
        <f t="shared" si="140"/>
        <v>61.751385409072526</v>
      </c>
      <c r="AC159">
        <v>1</v>
      </c>
      <c r="AD159">
        <f t="shared" si="124"/>
        <v>7.0685834625000004</v>
      </c>
      <c r="AE159">
        <f t="shared" si="125"/>
        <v>-2.7758262314626948E-3</v>
      </c>
      <c r="AF159">
        <f t="shared" si="126"/>
        <v>7.4612825437500004E-3</v>
      </c>
      <c r="AG159">
        <f t="shared" si="141"/>
        <v>788.38855080749704</v>
      </c>
      <c r="AH159">
        <f t="shared" si="142"/>
        <v>-427.32996656012205</v>
      </c>
      <c r="AJ159">
        <f t="shared" si="127"/>
        <v>10500</v>
      </c>
      <c r="AK159">
        <f t="shared" si="128"/>
        <v>163.28427798375</v>
      </c>
      <c r="AL159">
        <v>1</v>
      </c>
      <c r="AM159">
        <f t="shared" si="129"/>
        <v>7.4375635192425014</v>
      </c>
      <c r="AN159">
        <f t="shared" si="143"/>
        <v>208.00760262714581</v>
      </c>
      <c r="AO159">
        <f t="shared" si="144"/>
        <v>-1383.7854790410004</v>
      </c>
      <c r="AQ159">
        <f t="shared" si="130"/>
        <v>0.63995904262127223</v>
      </c>
      <c r="AR159">
        <f t="shared" si="131"/>
        <v>-79.994880327659033</v>
      </c>
      <c r="AT159">
        <f t="shared" si="156"/>
        <v>-33679.673153211166</v>
      </c>
      <c r="AU159">
        <f t="shared" si="157"/>
        <v>-63340.521449825457</v>
      </c>
      <c r="AV159">
        <f t="shared" si="145"/>
        <v>-2.0594998467194765</v>
      </c>
      <c r="AW159">
        <f t="shared" si="146"/>
        <v>-109779.91239041369</v>
      </c>
      <c r="AX159">
        <f t="shared" si="147"/>
        <v>-19926.149010525452</v>
      </c>
      <c r="AY159">
        <f t="shared" si="155"/>
        <v>-2.962037515433555</v>
      </c>
      <c r="BA159">
        <f t="shared" si="132"/>
        <v>0.64296548753120486</v>
      </c>
      <c r="BB159">
        <f t="shared" si="148"/>
        <v>-3.8362467616405471</v>
      </c>
      <c r="BC159">
        <f t="shared" si="149"/>
        <v>0.90253766871407848</v>
      </c>
      <c r="BD159">
        <f t="shared" si="133"/>
        <v>-128.2884006720177</v>
      </c>
      <c r="BF159">
        <f t="shared" si="134"/>
        <v>-8.9425771181126521</v>
      </c>
      <c r="BG159">
        <f t="shared" si="135"/>
        <v>-119.52943658719539</v>
      </c>
      <c r="BH159">
        <f t="shared" si="150"/>
        <v>60.470563412804609</v>
      </c>
      <c r="BI159">
        <f t="shared" si="151"/>
        <v>60.470563412804609</v>
      </c>
      <c r="BJ159">
        <f t="shared" si="136"/>
        <v>0</v>
      </c>
      <c r="BK159">
        <f t="shared" si="152"/>
        <v>0</v>
      </c>
      <c r="BM159">
        <f t="shared" si="153"/>
        <v>-5.106330356472105</v>
      </c>
      <c r="BN159">
        <f t="shared" si="137"/>
        <v>-171.24103591517769</v>
      </c>
      <c r="BQ159" s="56">
        <f t="shared" si="154"/>
        <v>13.06571403864459</v>
      </c>
      <c r="BR159" s="59"/>
      <c r="BS159" s="59"/>
      <c r="BT159" s="59">
        <v>3090.2950000000001</v>
      </c>
      <c r="BU159" s="59">
        <v>5.8544900000000002</v>
      </c>
      <c r="BV159" s="59">
        <v>-248.41800000000001</v>
      </c>
      <c r="BW159" s="61"/>
      <c r="BY159" s="59"/>
      <c r="BZ159" s="59"/>
      <c r="CA159" s="59"/>
      <c r="CC159" s="59"/>
    </row>
    <row r="160" spans="1:81" x14ac:dyDescent="0.2">
      <c r="A160">
        <f t="shared" si="106"/>
        <v>63000</v>
      </c>
      <c r="B160">
        <f t="shared" si="138"/>
        <v>63</v>
      </c>
      <c r="C160">
        <f t="shared" si="107"/>
        <v>1.0007831425394496</v>
      </c>
      <c r="D160">
        <f t="shared" si="108"/>
        <v>3.9563412068230303E-2</v>
      </c>
      <c r="F160">
        <f t="shared" si="109"/>
        <v>3.6401829789199758E-2</v>
      </c>
      <c r="G160">
        <f t="shared" si="110"/>
        <v>0.11266180676908882</v>
      </c>
      <c r="H160">
        <f t="shared" si="111"/>
        <v>-3.0289308432309112</v>
      </c>
      <c r="J160">
        <f t="shared" si="112"/>
        <v>15</v>
      </c>
      <c r="M160">
        <f t="shared" si="113"/>
        <v>1.2663002209790858E-2</v>
      </c>
      <c r="N160">
        <f t="shared" si="114"/>
        <v>-1.5707963250000001</v>
      </c>
      <c r="O160">
        <f t="shared" si="115"/>
        <v>7.1949640633437753</v>
      </c>
      <c r="P160">
        <f t="shared" si="116"/>
        <v>1.4313588221270461</v>
      </c>
      <c r="Q160">
        <f t="shared" si="117"/>
        <v>7.5634627672040358</v>
      </c>
      <c r="R160">
        <f t="shared" si="118"/>
        <v>1.4381934914015477</v>
      </c>
      <c r="S160">
        <f t="shared" si="119"/>
        <v>0.9998771652672126</v>
      </c>
      <c r="T160">
        <f t="shared" si="120"/>
        <v>-1.5674006992372973E-2</v>
      </c>
      <c r="U160">
        <f t="shared" si="121"/>
        <v>0.93632703680911356</v>
      </c>
      <c r="V160">
        <f t="shared" si="122"/>
        <v>-0.35877676710796658</v>
      </c>
      <c r="X160">
        <f t="shared" si="139"/>
        <v>-9.0557069116666664</v>
      </c>
      <c r="Y160">
        <f t="shared" si="123"/>
        <v>-118.31934958601231</v>
      </c>
      <c r="Z160">
        <f t="shared" si="140"/>
        <v>61.680650413987692</v>
      </c>
      <c r="AC160">
        <v>1</v>
      </c>
      <c r="AD160">
        <f t="shared" si="124"/>
        <v>7.1251321302000008</v>
      </c>
      <c r="AE160">
        <f t="shared" si="125"/>
        <v>-2.8204171040449116E-3</v>
      </c>
      <c r="AF160">
        <f t="shared" si="126"/>
        <v>7.5209728041E-3</v>
      </c>
      <c r="AG160">
        <f t="shared" si="141"/>
        <v>786.85178846136876</v>
      </c>
      <c r="AH160">
        <f t="shared" si="142"/>
        <v>-428.03641581709002</v>
      </c>
      <c r="AJ160">
        <f t="shared" si="127"/>
        <v>10500</v>
      </c>
      <c r="AK160">
        <f t="shared" si="128"/>
        <v>164.59055220762002</v>
      </c>
      <c r="AL160">
        <v>1</v>
      </c>
      <c r="AM160">
        <f t="shared" si="129"/>
        <v>7.4970640273964415</v>
      </c>
      <c r="AN160">
        <f t="shared" si="143"/>
        <v>205.11750971075546</v>
      </c>
      <c r="AO160">
        <f t="shared" si="144"/>
        <v>-1373.188551234025</v>
      </c>
      <c r="AQ160">
        <f t="shared" si="130"/>
        <v>0.62984190968067011</v>
      </c>
      <c r="AR160">
        <f t="shared" si="131"/>
        <v>-79.360080619764446</v>
      </c>
      <c r="AT160">
        <f t="shared" si="156"/>
        <v>-33473.412234359123</v>
      </c>
      <c r="AU160">
        <f t="shared" si="157"/>
        <v>-62714.216641651168</v>
      </c>
      <c r="AV160">
        <f t="shared" si="145"/>
        <v>-2.0610742572632477</v>
      </c>
      <c r="AW160">
        <f t="shared" si="146"/>
        <v>-108068.38204304779</v>
      </c>
      <c r="AX160">
        <f t="shared" si="147"/>
        <v>-19528.405589238399</v>
      </c>
      <c r="AY160">
        <f t="shared" si="155"/>
        <v>-2.9628177434445671</v>
      </c>
      <c r="BA160">
        <f t="shared" si="132"/>
        <v>0.64732426815635646</v>
      </c>
      <c r="BB160">
        <f t="shared" si="148"/>
        <v>-3.7775622199433871</v>
      </c>
      <c r="BC160">
        <f t="shared" si="149"/>
        <v>0.90174348618131939</v>
      </c>
      <c r="BD160">
        <f t="shared" si="133"/>
        <v>-128.3339039793598</v>
      </c>
      <c r="BF160">
        <f t="shared" si="134"/>
        <v>-9.026473118932131</v>
      </c>
      <c r="BG160">
        <f t="shared" si="135"/>
        <v>-119.61204139455985</v>
      </c>
      <c r="BH160">
        <f t="shared" si="150"/>
        <v>60.387958605440147</v>
      </c>
      <c r="BI160">
        <f t="shared" si="151"/>
        <v>60.387958605440147</v>
      </c>
      <c r="BJ160">
        <f t="shared" si="136"/>
        <v>0</v>
      </c>
      <c r="BK160">
        <f t="shared" si="152"/>
        <v>0</v>
      </c>
      <c r="BM160">
        <f t="shared" si="153"/>
        <v>-5.2489108989887399</v>
      </c>
      <c r="BN160">
        <f t="shared" si="137"/>
        <v>-171.27813741520006</v>
      </c>
      <c r="BQ160" s="56">
        <f t="shared" si="154"/>
        <v>13.124398580341749</v>
      </c>
      <c r="BR160" s="59"/>
      <c r="BS160" s="59"/>
      <c r="BT160" s="59">
        <v>3162.2779999999998</v>
      </c>
      <c r="BU160" s="59">
        <v>5.6099300000000003</v>
      </c>
      <c r="BV160" s="59">
        <v>-248.626</v>
      </c>
      <c r="BW160" s="61"/>
      <c r="BY160" s="59"/>
      <c r="BZ160" s="59"/>
      <c r="CA160" s="59"/>
      <c r="CC160" s="59"/>
    </row>
    <row r="161" spans="1:81" x14ac:dyDescent="0.2">
      <c r="A161">
        <f t="shared" si="106"/>
        <v>63500</v>
      </c>
      <c r="B161">
        <f t="shared" si="138"/>
        <v>63.5</v>
      </c>
      <c r="C161">
        <f t="shared" si="107"/>
        <v>1.0007956177413118</v>
      </c>
      <c r="D161">
        <f t="shared" si="108"/>
        <v>3.987707594287658E-2</v>
      </c>
      <c r="F161">
        <f t="shared" si="109"/>
        <v>3.5813651374031745E-2</v>
      </c>
      <c r="G161">
        <f t="shared" si="110"/>
        <v>0.11171716849186569</v>
      </c>
      <c r="H161">
        <f t="shared" si="111"/>
        <v>-3.0298754815081343</v>
      </c>
      <c r="J161">
        <f t="shared" si="112"/>
        <v>15</v>
      </c>
      <c r="M161">
        <f t="shared" si="113"/>
        <v>1.2563293530973607E-2</v>
      </c>
      <c r="N161">
        <f t="shared" si="114"/>
        <v>-1.5707963250000001</v>
      </c>
      <c r="O161">
        <f t="shared" si="115"/>
        <v>7.2509681479734533</v>
      </c>
      <c r="P161">
        <f t="shared" si="116"/>
        <v>1.4324427436397684</v>
      </c>
      <c r="Q161">
        <f t="shared" si="117"/>
        <v>7.6224449870063165</v>
      </c>
      <c r="R161">
        <f t="shared" si="118"/>
        <v>1.4392255533826461</v>
      </c>
      <c r="S161">
        <f t="shared" si="119"/>
        <v>0.99987520813881958</v>
      </c>
      <c r="T161">
        <f t="shared" si="120"/>
        <v>-1.5798383257041911E-2</v>
      </c>
      <c r="U161">
        <f t="shared" si="121"/>
        <v>0.93540855327078176</v>
      </c>
      <c r="V161">
        <f t="shared" si="122"/>
        <v>-0.36138350982543849</v>
      </c>
      <c r="X161">
        <f t="shared" si="139"/>
        <v>-9.1394760897933942</v>
      </c>
      <c r="Y161">
        <f t="shared" si="123"/>
        <v>-118.39074642365176</v>
      </c>
      <c r="Z161">
        <f t="shared" si="140"/>
        <v>61.609253576348237</v>
      </c>
      <c r="AC161">
        <v>1</v>
      </c>
      <c r="AD161">
        <f t="shared" si="124"/>
        <v>7.1816807979000004</v>
      </c>
      <c r="AE161">
        <f t="shared" si="125"/>
        <v>-2.8653632823847546E-3</v>
      </c>
      <c r="AF161">
        <f t="shared" si="126"/>
        <v>7.5806630644499997E-3</v>
      </c>
      <c r="AG161">
        <f t="shared" si="141"/>
        <v>785.30883195682111</v>
      </c>
      <c r="AH161">
        <f t="shared" si="142"/>
        <v>-428.7481272797271</v>
      </c>
      <c r="AJ161">
        <f t="shared" si="127"/>
        <v>10500</v>
      </c>
      <c r="AK161">
        <f t="shared" si="128"/>
        <v>165.89682643149001</v>
      </c>
      <c r="AL161">
        <v>1</v>
      </c>
      <c r="AM161">
        <f t="shared" si="129"/>
        <v>7.5565645355503808</v>
      </c>
      <c r="AN161">
        <f t="shared" si="143"/>
        <v>202.29385084346575</v>
      </c>
      <c r="AO161">
        <f t="shared" si="144"/>
        <v>-1362.7497126121618</v>
      </c>
      <c r="AQ161">
        <f t="shared" si="130"/>
        <v>0.61996280223186606</v>
      </c>
      <c r="AR161">
        <f t="shared" si="131"/>
        <v>-78.735275883446988</v>
      </c>
      <c r="AT161">
        <f t="shared" si="156"/>
        <v>-33270.739821803174</v>
      </c>
      <c r="AU161">
        <f t="shared" si="157"/>
        <v>-62097.315428267822</v>
      </c>
      <c r="AV161">
        <f t="shared" si="145"/>
        <v>-2.0626595667513627</v>
      </c>
      <c r="AW161">
        <f t="shared" si="146"/>
        <v>-106396.16385692095</v>
      </c>
      <c r="AX161">
        <f t="shared" si="147"/>
        <v>-19142.470373533892</v>
      </c>
      <c r="AY161">
        <f t="shared" si="155"/>
        <v>-2.9635801867274809</v>
      </c>
      <c r="BA161">
        <f t="shared" si="132"/>
        <v>0.65167232506785855</v>
      </c>
      <c r="BB161">
        <f t="shared" si="148"/>
        <v>-3.7194144407761422</v>
      </c>
      <c r="BC161">
        <f t="shared" si="149"/>
        <v>0.90092061997611816</v>
      </c>
      <c r="BD161">
        <f t="shared" si="133"/>
        <v>-128.38105074007564</v>
      </c>
      <c r="BF161">
        <f t="shared" si="134"/>
        <v>-9.1097093258117621</v>
      </c>
      <c r="BG161">
        <f t="shared" si="135"/>
        <v>-119.69534032556547</v>
      </c>
      <c r="BH161">
        <f t="shared" si="150"/>
        <v>60.304659674434532</v>
      </c>
      <c r="BI161">
        <f t="shared" si="151"/>
        <v>60.304659674434532</v>
      </c>
      <c r="BJ161">
        <f t="shared" si="136"/>
        <v>0</v>
      </c>
      <c r="BK161">
        <f t="shared" si="152"/>
        <v>0</v>
      </c>
      <c r="BM161">
        <f t="shared" si="153"/>
        <v>-5.3902948850356207</v>
      </c>
      <c r="BN161">
        <f t="shared" si="137"/>
        <v>-171.31428958548983</v>
      </c>
      <c r="BQ161" s="56">
        <f t="shared" si="154"/>
        <v>13.182546359508995</v>
      </c>
      <c r="BR161" s="59"/>
      <c r="BS161" s="59"/>
      <c r="BT161" s="59">
        <v>3235.9369999999999</v>
      </c>
      <c r="BU161" s="59">
        <v>5.4320899999999996</v>
      </c>
      <c r="BV161" s="59">
        <v>-248.57499999999999</v>
      </c>
      <c r="BW161" s="61"/>
      <c r="BY161" s="59"/>
      <c r="BZ161" s="59"/>
      <c r="CA161" s="59"/>
      <c r="CC161" s="59"/>
    </row>
    <row r="162" spans="1:81" x14ac:dyDescent="0.2">
      <c r="A162">
        <f t="shared" si="106"/>
        <v>64000</v>
      </c>
      <c r="B162">
        <f t="shared" si="138"/>
        <v>64</v>
      </c>
      <c r="C162">
        <f t="shared" si="107"/>
        <v>1.0008081914040168</v>
      </c>
      <c r="D162">
        <f t="shared" si="108"/>
        <v>4.0190731966943463E-2</v>
      </c>
      <c r="F162">
        <f t="shared" si="109"/>
        <v>3.5239744887923787E-2</v>
      </c>
      <c r="G162">
        <f t="shared" si="110"/>
        <v>0.11078867192947692</v>
      </c>
      <c r="H162">
        <f t="shared" si="111"/>
        <v>-3.0308039780705234</v>
      </c>
      <c r="J162">
        <f t="shared" si="112"/>
        <v>15</v>
      </c>
      <c r="M162">
        <f t="shared" si="113"/>
        <v>1.2465142800262877E-2</v>
      </c>
      <c r="N162">
        <f t="shared" si="114"/>
        <v>-1.5707963250000001</v>
      </c>
      <c r="O162">
        <f t="shared" si="115"/>
        <v>7.3069806210691466</v>
      </c>
      <c r="P162">
        <f t="shared" si="116"/>
        <v>1.4335100485485255</v>
      </c>
      <c r="Q162">
        <f t="shared" si="117"/>
        <v>7.6814352011804985</v>
      </c>
      <c r="R162">
        <f t="shared" si="118"/>
        <v>1.4402417648224102</v>
      </c>
      <c r="S162">
        <f t="shared" si="119"/>
        <v>0.99987323555068508</v>
      </c>
      <c r="T162">
        <f t="shared" si="120"/>
        <v>-1.5922759032887333E-2</v>
      </c>
      <c r="U162">
        <f t="shared" si="121"/>
        <v>0.93448553867822681</v>
      </c>
      <c r="V162">
        <f t="shared" si="122"/>
        <v>-0.36398512578431635</v>
      </c>
      <c r="X162">
        <f t="shared" si="139"/>
        <v>-9.2226004102177477</v>
      </c>
      <c r="Y162">
        <f t="shared" si="123"/>
        <v>-118.46278531972393</v>
      </c>
      <c r="Z162">
        <f t="shared" si="140"/>
        <v>61.537214680276065</v>
      </c>
      <c r="AC162">
        <v>1</v>
      </c>
      <c r="AD162">
        <f t="shared" si="124"/>
        <v>7.2382294656000017</v>
      </c>
      <c r="AE162">
        <f t="shared" si="125"/>
        <v>-2.9106647664822261E-3</v>
      </c>
      <c r="AF162">
        <f t="shared" si="126"/>
        <v>7.6403533247999993E-3</v>
      </c>
      <c r="AG162">
        <f t="shared" si="141"/>
        <v>783.75978927310382</v>
      </c>
      <c r="AH162">
        <f t="shared" si="142"/>
        <v>-429.46469417481433</v>
      </c>
      <c r="AJ162">
        <f t="shared" si="127"/>
        <v>10500</v>
      </c>
      <c r="AK162">
        <f t="shared" si="128"/>
        <v>167.20310065536</v>
      </c>
      <c r="AL162">
        <v>1</v>
      </c>
      <c r="AM162">
        <f t="shared" si="129"/>
        <v>7.6160650437043209</v>
      </c>
      <c r="AN162">
        <f t="shared" si="143"/>
        <v>199.53461711109514</v>
      </c>
      <c r="AO162">
        <f t="shared" si="144"/>
        <v>-1352.4655217333777</v>
      </c>
      <c r="AQ162">
        <f t="shared" si="130"/>
        <v>0.61031431187061336</v>
      </c>
      <c r="AR162">
        <f t="shared" si="131"/>
        <v>-78.12023191943851</v>
      </c>
      <c r="AT162">
        <f t="shared" si="156"/>
        <v>-33071.541693685154</v>
      </c>
      <c r="AU162">
        <f t="shared" si="157"/>
        <v>-61489.604956443145</v>
      </c>
      <c r="AV162">
        <f t="shared" si="145"/>
        <v>-2.0642553897654832</v>
      </c>
      <c r="AW162">
        <f t="shared" si="146"/>
        <v>-104762.07147304191</v>
      </c>
      <c r="AX162">
        <f t="shared" si="147"/>
        <v>-18767.900427622644</v>
      </c>
      <c r="AY162">
        <f t="shared" si="155"/>
        <v>-2.9643252394469335</v>
      </c>
      <c r="BA162">
        <f t="shared" si="132"/>
        <v>0.65600957858892617</v>
      </c>
      <c r="BB162">
        <f t="shared" si="148"/>
        <v>-3.661796386329943</v>
      </c>
      <c r="BC162">
        <f t="shared" si="149"/>
        <v>0.90006984968145032</v>
      </c>
      <c r="BD162">
        <f t="shared" si="133"/>
        <v>-128.42979628735094</v>
      </c>
      <c r="BF162">
        <f t="shared" si="134"/>
        <v>-9.1922990640202435</v>
      </c>
      <c r="BG162">
        <f t="shared" si="135"/>
        <v>-119.7793136408004</v>
      </c>
      <c r="BH162">
        <f t="shared" si="150"/>
        <v>60.220686359199604</v>
      </c>
      <c r="BI162">
        <f t="shared" si="151"/>
        <v>60.220686359199604</v>
      </c>
      <c r="BJ162">
        <f t="shared" si="136"/>
        <v>0</v>
      </c>
      <c r="BK162">
        <f t="shared" si="152"/>
        <v>0</v>
      </c>
      <c r="BM162">
        <f t="shared" si="153"/>
        <v>-5.5305026776903006</v>
      </c>
      <c r="BN162">
        <f t="shared" si="137"/>
        <v>-171.3495173534495</v>
      </c>
      <c r="BQ162" s="56">
        <f t="shared" si="154"/>
        <v>13.240164413955194</v>
      </c>
      <c r="BR162" s="59"/>
      <c r="BS162" s="59"/>
      <c r="BT162" s="59">
        <v>3311.3110000000001</v>
      </c>
      <c r="BU162" s="59">
        <v>5.2356100000000003</v>
      </c>
      <c r="BV162" s="59">
        <v>-247.75799999999998</v>
      </c>
      <c r="BW162" s="61"/>
      <c r="BY162" s="59"/>
      <c r="BZ162" s="59"/>
      <c r="CA162" s="59"/>
      <c r="CC162" s="59"/>
    </row>
    <row r="163" spans="1:81" x14ac:dyDescent="0.2">
      <c r="A163">
        <f t="shared" si="106"/>
        <v>64500</v>
      </c>
      <c r="B163">
        <f t="shared" si="138"/>
        <v>64.5</v>
      </c>
      <c r="C163">
        <f t="shared" si="107"/>
        <v>1.0008208635238536</v>
      </c>
      <c r="D163">
        <f t="shared" si="108"/>
        <v>4.0504380079012976E-2</v>
      </c>
      <c r="F163">
        <f t="shared" si="109"/>
        <v>3.4679648340492947E-2</v>
      </c>
      <c r="G163">
        <f t="shared" si="110"/>
        <v>0.1098758974425211</v>
      </c>
      <c r="H163">
        <f t="shared" si="111"/>
        <v>-3.0317167525574793</v>
      </c>
      <c r="J163">
        <f t="shared" si="112"/>
        <v>15</v>
      </c>
      <c r="M163">
        <f t="shared" si="113"/>
        <v>1.236851378630735E-2</v>
      </c>
      <c r="N163">
        <f t="shared" si="114"/>
        <v>-1.5707963250000001</v>
      </c>
      <c r="O163">
        <f t="shared" si="115"/>
        <v>7.3630012911904226</v>
      </c>
      <c r="P163">
        <f t="shared" si="116"/>
        <v>1.4345611136709044</v>
      </c>
      <c r="Q163">
        <f t="shared" si="117"/>
        <v>7.7404332269501035</v>
      </c>
      <c r="R163">
        <f t="shared" si="118"/>
        <v>1.4412424860388227</v>
      </c>
      <c r="S163">
        <f t="shared" si="119"/>
        <v>0.99987124750308354</v>
      </c>
      <c r="T163">
        <f t="shared" si="120"/>
        <v>-1.6047134316064131E-2</v>
      </c>
      <c r="U163">
        <f t="shared" si="121"/>
        <v>0.93355804385924368</v>
      </c>
      <c r="V163">
        <f t="shared" si="122"/>
        <v>-0.36658159498071291</v>
      </c>
      <c r="X163">
        <f t="shared" si="139"/>
        <v>-9.3050927562683636</v>
      </c>
      <c r="Y163">
        <f t="shared" si="123"/>
        <v>-118.53544694019861</v>
      </c>
      <c r="Z163">
        <f t="shared" si="140"/>
        <v>61.464553059801389</v>
      </c>
      <c r="AC163">
        <v>1</v>
      </c>
      <c r="AD163">
        <f t="shared" si="124"/>
        <v>7.2947781333000004</v>
      </c>
      <c r="AE163">
        <f t="shared" si="125"/>
        <v>-2.9563215563373248E-3</v>
      </c>
      <c r="AF163">
        <f t="shared" si="126"/>
        <v>7.7000435851499989E-3</v>
      </c>
      <c r="AG163">
        <f t="shared" si="141"/>
        <v>782.20476810635034</v>
      </c>
      <c r="AH163">
        <f t="shared" si="142"/>
        <v>-430.18572307965894</v>
      </c>
      <c r="AJ163">
        <f t="shared" si="127"/>
        <v>10500</v>
      </c>
      <c r="AK163">
        <f t="shared" si="128"/>
        <v>168.50937487923002</v>
      </c>
      <c r="AL163">
        <v>1</v>
      </c>
      <c r="AM163">
        <f t="shared" si="129"/>
        <v>7.6755655518582611</v>
      </c>
      <c r="AN163">
        <f t="shared" si="143"/>
        <v>196.83787452238627</v>
      </c>
      <c r="AO163">
        <f t="shared" si="144"/>
        <v>-1342.3326341057968</v>
      </c>
      <c r="AQ163">
        <f t="shared" si="130"/>
        <v>0.60088931618795816</v>
      </c>
      <c r="AR163">
        <f t="shared" si="131"/>
        <v>-77.514721788246604</v>
      </c>
      <c r="AT163">
        <f t="shared" si="156"/>
        <v>-32875.708153569074</v>
      </c>
      <c r="AU163">
        <f t="shared" si="157"/>
        <v>-60890.878986178861</v>
      </c>
      <c r="AV163">
        <f t="shared" si="145"/>
        <v>-2.0658613521873948</v>
      </c>
      <c r="AW163">
        <f t="shared" si="146"/>
        <v>-103164.96266695514</v>
      </c>
      <c r="AX163">
        <f t="shared" si="147"/>
        <v>-18404.272691864229</v>
      </c>
      <c r="AY163">
        <f t="shared" si="155"/>
        <v>-2.9650532839065127</v>
      </c>
      <c r="BA163">
        <f t="shared" si="132"/>
        <v>0.66033595116238686</v>
      </c>
      <c r="BB163">
        <f t="shared" si="148"/>
        <v>-3.604701149302501</v>
      </c>
      <c r="BC163">
        <f t="shared" si="149"/>
        <v>0.89919193171911793</v>
      </c>
      <c r="BD163">
        <f t="shared" si="133"/>
        <v>-128.48009728140877</v>
      </c>
      <c r="BF163">
        <f t="shared" si="134"/>
        <v>-9.2742552633248216</v>
      </c>
      <c r="BG163">
        <f t="shared" si="135"/>
        <v>-119.86394204757343</v>
      </c>
      <c r="BH163">
        <f t="shared" si="150"/>
        <v>60.136057952426569</v>
      </c>
      <c r="BI163">
        <f t="shared" si="151"/>
        <v>60.136057952426569</v>
      </c>
      <c r="BJ163">
        <f t="shared" si="136"/>
        <v>0</v>
      </c>
      <c r="BK163">
        <f t="shared" si="152"/>
        <v>0</v>
      </c>
      <c r="BM163">
        <f t="shared" si="153"/>
        <v>-5.6695541140223229</v>
      </c>
      <c r="BN163">
        <f t="shared" si="137"/>
        <v>-171.38384476616466</v>
      </c>
      <c r="BQ163" s="56">
        <f t="shared" si="154"/>
        <v>13.297259650982635</v>
      </c>
      <c r="BR163" s="59"/>
      <c r="BS163" s="59"/>
      <c r="BT163" s="59">
        <v>3388.442</v>
      </c>
      <c r="BU163" s="59">
        <v>5.0528199999999996</v>
      </c>
      <c r="BV163" s="59">
        <v>-247.756</v>
      </c>
      <c r="BW163" s="61"/>
      <c r="BY163" s="59"/>
      <c r="BZ163" s="59"/>
      <c r="CA163" s="59"/>
      <c r="CC163" s="59"/>
    </row>
    <row r="164" spans="1:81" x14ac:dyDescent="0.2">
      <c r="A164">
        <f t="shared" si="106"/>
        <v>65000</v>
      </c>
      <c r="B164">
        <f t="shared" si="138"/>
        <v>65</v>
      </c>
      <c r="C164">
        <f t="shared" si="107"/>
        <v>1.0008336340970823</v>
      </c>
      <c r="D164">
        <f t="shared" si="108"/>
        <v>4.0818020217676478E-2</v>
      </c>
      <c r="F164">
        <f t="shared" si="109"/>
        <v>3.4132918432685962E-2</v>
      </c>
      <c r="G164">
        <f t="shared" si="110"/>
        <v>0.10897844007432404</v>
      </c>
      <c r="H164">
        <f t="shared" si="111"/>
        <v>-3.0326142099256761</v>
      </c>
      <c r="J164">
        <f t="shared" si="112"/>
        <v>15</v>
      </c>
      <c r="M164">
        <f t="shared" si="113"/>
        <v>1.2273371372566523E-2</v>
      </c>
      <c r="N164">
        <f t="shared" si="114"/>
        <v>-1.5707963250000001</v>
      </c>
      <c r="O164">
        <f t="shared" si="115"/>
        <v>7.4190299726514706</v>
      </c>
      <c r="P164">
        <f t="shared" si="116"/>
        <v>1.4355963045875908</v>
      </c>
      <c r="Q164">
        <f t="shared" si="117"/>
        <v>7.799438887045187</v>
      </c>
      <c r="R164">
        <f t="shared" si="118"/>
        <v>1.4422280665723861</v>
      </c>
      <c r="S164">
        <f t="shared" si="119"/>
        <v>0.99986924399629173</v>
      </c>
      <c r="T164">
        <f t="shared" si="120"/>
        <v>-1.6171509102727275E-2</v>
      </c>
      <c r="U164">
        <f t="shared" si="121"/>
        <v>0.93262611960139263</v>
      </c>
      <c r="V164">
        <f t="shared" si="122"/>
        <v>-0.36917289776738621</v>
      </c>
      <c r="X164">
        <f t="shared" si="139"/>
        <v>-9.3869656310731902</v>
      </c>
      <c r="Y164">
        <f t="shared" si="123"/>
        <v>-118.6087123915522</v>
      </c>
      <c r="Z164">
        <f t="shared" si="140"/>
        <v>61.391287608447797</v>
      </c>
      <c r="AC164">
        <v>1</v>
      </c>
      <c r="AD164">
        <f t="shared" si="124"/>
        <v>7.3513268009999999</v>
      </c>
      <c r="AE164">
        <f t="shared" si="125"/>
        <v>-3.0023336519500506E-3</v>
      </c>
      <c r="AF164">
        <f t="shared" si="126"/>
        <v>7.7597338454999994E-3</v>
      </c>
      <c r="AG164">
        <f t="shared" si="141"/>
        <v>780.64387585576549</v>
      </c>
      <c r="AH164">
        <f t="shared" si="142"/>
        <v>-430.91083344431735</v>
      </c>
      <c r="AJ164">
        <f t="shared" si="127"/>
        <v>10500</v>
      </c>
      <c r="AK164">
        <f t="shared" si="128"/>
        <v>169.81564910310001</v>
      </c>
      <c r="AL164">
        <v>1</v>
      </c>
      <c r="AM164">
        <f t="shared" si="129"/>
        <v>7.7350660600122003</v>
      </c>
      <c r="AN164">
        <f t="shared" si="143"/>
        <v>194.20176070057951</v>
      </c>
      <c r="AO164">
        <f t="shared" si="144"/>
        <v>-1332.3477988865639</v>
      </c>
      <c r="AQ164">
        <f t="shared" si="130"/>
        <v>0.59168096562333594</v>
      </c>
      <c r="AR164">
        <f t="shared" si="131"/>
        <v>-76.918525531033666</v>
      </c>
      <c r="AT164">
        <f t="shared" si="156"/>
        <v>-32683.133821611435</v>
      </c>
      <c r="AU164">
        <f t="shared" si="157"/>
        <v>-60300.937633686663</v>
      </c>
      <c r="AV164">
        <f t="shared" si="145"/>
        <v>-2.0674770907939397</v>
      </c>
      <c r="AW164">
        <f t="shared" si="146"/>
        <v>-101603.73740566155</v>
      </c>
      <c r="AX164">
        <f t="shared" si="147"/>
        <v>-18051.182949276699</v>
      </c>
      <c r="AY164">
        <f t="shared" si="155"/>
        <v>-2.9657646909922177</v>
      </c>
      <c r="BA164">
        <f t="shared" si="132"/>
        <v>0.66465136730263641</v>
      </c>
      <c r="BB164">
        <f t="shared" si="148"/>
        <v>-3.5481219498608678</v>
      </c>
      <c r="BC164">
        <f t="shared" si="149"/>
        <v>0.89828760019827802</v>
      </c>
      <c r="BD164">
        <f t="shared" si="133"/>
        <v>-128.53191166089275</v>
      </c>
      <c r="BF164">
        <f t="shared" si="134"/>
        <v>-9.3555904731834936</v>
      </c>
      <c r="BG164">
        <f t="shared" si="135"/>
        <v>-119.94920669035491</v>
      </c>
      <c r="BH164">
        <f t="shared" si="150"/>
        <v>60.050793309645087</v>
      </c>
      <c r="BI164">
        <f t="shared" si="151"/>
        <v>60.050793309645087</v>
      </c>
      <c r="BJ164">
        <f t="shared" si="136"/>
        <v>0</v>
      </c>
      <c r="BK164">
        <f t="shared" si="152"/>
        <v>0</v>
      </c>
      <c r="BM164">
        <f t="shared" si="153"/>
        <v>-5.8074685233226253</v>
      </c>
      <c r="BN164">
        <f t="shared" si="137"/>
        <v>-171.41729502946217</v>
      </c>
      <c r="BQ164" s="56">
        <f t="shared" si="154"/>
        <v>13.353838850424269</v>
      </c>
      <c r="BR164" s="59"/>
      <c r="BS164" s="59"/>
      <c r="BT164" s="59">
        <v>3467.3690000000001</v>
      </c>
      <c r="BU164" s="59">
        <v>4.9028999999999998</v>
      </c>
      <c r="BV164" s="59">
        <v>-247.51300000000001</v>
      </c>
      <c r="BW164" s="61"/>
      <c r="BY164" s="59"/>
      <c r="BZ164" s="59"/>
      <c r="CA164" s="59"/>
      <c r="CC164" s="59"/>
    </row>
    <row r="165" spans="1:81" x14ac:dyDescent="0.2">
      <c r="A165">
        <f t="shared" si="106"/>
        <v>65500</v>
      </c>
      <c r="B165">
        <f t="shared" si="138"/>
        <v>65.5</v>
      </c>
      <c r="C165">
        <f t="shared" si="107"/>
        <v>1.0008465031199341</v>
      </c>
      <c r="D165">
        <f t="shared" si="108"/>
        <v>4.1131652321534748E-2</v>
      </c>
      <c r="F165">
        <f t="shared" si="109"/>
        <v>3.359912965007477E-2</v>
      </c>
      <c r="G165">
        <f t="shared" si="110"/>
        <v>0.10809590890558299</v>
      </c>
      <c r="H165">
        <f t="shared" si="111"/>
        <v>-3.0334967410944174</v>
      </c>
      <c r="J165">
        <f t="shared" si="112"/>
        <v>15</v>
      </c>
      <c r="M165">
        <f t="shared" si="113"/>
        <v>1.2179681514760671E-2</v>
      </c>
      <c r="N165">
        <f t="shared" si="114"/>
        <v>-1.5707963250000001</v>
      </c>
      <c r="O165">
        <f t="shared" si="115"/>
        <v>7.4750664853074875</v>
      </c>
      <c r="P165">
        <f t="shared" si="116"/>
        <v>1.4366159760554846</v>
      </c>
      <c r="Q165">
        <f t="shared" si="117"/>
        <v>7.8584520094973707</v>
      </c>
      <c r="R165">
        <f t="shared" si="118"/>
        <v>1.4431988455837985</v>
      </c>
      <c r="S165">
        <f t="shared" si="119"/>
        <v>0.99986722503058845</v>
      </c>
      <c r="T165">
        <f t="shared" si="120"/>
        <v>-1.6295883389031839E-2</v>
      </c>
      <c r="U165">
        <f t="shared" si="121"/>
        <v>0.93168981664610462</v>
      </c>
      <c r="V165">
        <f t="shared" si="122"/>
        <v>-0.37175901485273249</v>
      </c>
      <c r="X165">
        <f t="shared" si="139"/>
        <v>-9.4682311720410421</v>
      </c>
      <c r="Y165">
        <f t="shared" si="123"/>
        <v>-118.68256321123154</v>
      </c>
      <c r="Z165">
        <f t="shared" si="140"/>
        <v>61.317436788768461</v>
      </c>
      <c r="AC165">
        <v>1</v>
      </c>
      <c r="AD165">
        <f t="shared" si="124"/>
        <v>7.4078754687000004</v>
      </c>
      <c r="AE165">
        <f t="shared" si="125"/>
        <v>-3.0487010533204032E-3</v>
      </c>
      <c r="AF165">
        <f t="shared" si="126"/>
        <v>7.8194241058500008E-3</v>
      </c>
      <c r="AG165">
        <f t="shared" si="141"/>
        <v>779.07721961004108</v>
      </c>
      <c r="AH165">
        <f t="shared" si="142"/>
        <v>-431.63965713510424</v>
      </c>
      <c r="AJ165">
        <f t="shared" si="127"/>
        <v>10500</v>
      </c>
      <c r="AK165">
        <f t="shared" si="128"/>
        <v>171.12192332697003</v>
      </c>
      <c r="AL165">
        <v>1</v>
      </c>
      <c r="AM165">
        <f t="shared" si="129"/>
        <v>7.7945665681661405</v>
      </c>
      <c r="AN165">
        <f t="shared" si="143"/>
        <v>191.62448174314784</v>
      </c>
      <c r="AO165">
        <f t="shared" si="144"/>
        <v>-1322.5078557103332</v>
      </c>
      <c r="AQ165">
        <f t="shared" si="130"/>
        <v>0.58268267101736393</v>
      </c>
      <c r="AR165">
        <f t="shared" si="131"/>
        <v>-76.331429903274682</v>
      </c>
      <c r="AT165">
        <f t="shared" si="156"/>
        <v>-32493.717436830568</v>
      </c>
      <c r="AU165">
        <f t="shared" si="157"/>
        <v>-59719.58712623849</v>
      </c>
      <c r="AV165">
        <f t="shared" si="145"/>
        <v>-2.069102252869548</v>
      </c>
      <c r="AW165">
        <f t="shared" si="146"/>
        <v>-100077.3360029516</v>
      </c>
      <c r="AX165">
        <f t="shared" si="147"/>
        <v>-17708.244852949385</v>
      </c>
      <c r="AY165">
        <f t="shared" si="155"/>
        <v>-2.9664598205963295</v>
      </c>
      <c r="BA165">
        <f t="shared" si="132"/>
        <v>0.6689557535495041</v>
      </c>
      <c r="BB165">
        <f t="shared" si="148"/>
        <v>-3.4920521326787424</v>
      </c>
      <c r="BC165">
        <f t="shared" si="149"/>
        <v>0.89735756772678155</v>
      </c>
      <c r="BD165">
        <f t="shared" si="133"/>
        <v>-128.58519859638051</v>
      </c>
      <c r="BF165">
        <f t="shared" si="134"/>
        <v>-9.436316877220678</v>
      </c>
      <c r="BG165">
        <f t="shared" si="135"/>
        <v>-120.03508914126667</v>
      </c>
      <c r="BH165">
        <f t="shared" si="150"/>
        <v>59.964910858733333</v>
      </c>
      <c r="BI165">
        <f t="shared" si="151"/>
        <v>59.964910858733333</v>
      </c>
      <c r="BJ165">
        <f t="shared" si="136"/>
        <v>0</v>
      </c>
      <c r="BK165">
        <f t="shared" si="152"/>
        <v>0</v>
      </c>
      <c r="BM165">
        <f t="shared" si="153"/>
        <v>-5.9442647445419361</v>
      </c>
      <c r="BN165">
        <f t="shared" si="137"/>
        <v>-171.44989054488616</v>
      </c>
      <c r="BQ165" s="56">
        <f t="shared" si="154"/>
        <v>13.409908667606395</v>
      </c>
      <c r="BR165" s="59"/>
      <c r="BS165" s="59"/>
      <c r="BT165" s="59">
        <v>3548.134</v>
      </c>
      <c r="BU165" s="59">
        <v>4.6522600000000001</v>
      </c>
      <c r="BV165" s="59">
        <v>-246.726</v>
      </c>
      <c r="BW165" s="61"/>
      <c r="BY165" s="59"/>
      <c r="BZ165" s="59"/>
      <c r="CA165" s="59"/>
      <c r="CC165" s="59"/>
    </row>
    <row r="166" spans="1:81" x14ac:dyDescent="0.2">
      <c r="A166">
        <f t="shared" ref="A166:A200" si="158">A165+500</f>
        <v>66000</v>
      </c>
      <c r="B166">
        <f t="shared" si="138"/>
        <v>66</v>
      </c>
      <c r="C166">
        <f t="shared" si="107"/>
        <v>1.0008594705886116</v>
      </c>
      <c r="D166">
        <f t="shared" si="108"/>
        <v>4.1445276329197991E-2</v>
      </c>
      <c r="F166">
        <f t="shared" si="109"/>
        <v>3.3077873407386105E-2</v>
      </c>
      <c r="G166">
        <f t="shared" si="110"/>
        <v>0.10722792644309204</v>
      </c>
      <c r="H166">
        <f t="shared" si="111"/>
        <v>-3.0343647235569082</v>
      </c>
      <c r="J166">
        <f t="shared" si="112"/>
        <v>15</v>
      </c>
      <c r="M166">
        <f t="shared" si="113"/>
        <v>1.2087411200254911E-2</v>
      </c>
      <c r="N166">
        <f t="shared" si="114"/>
        <v>-1.5707963250000001</v>
      </c>
      <c r="O166">
        <f t="shared" si="115"/>
        <v>7.5311106543504502</v>
      </c>
      <c r="P166">
        <f t="shared" si="116"/>
        <v>1.4376204724028414</v>
      </c>
      <c r="Q166">
        <f t="shared" si="117"/>
        <v>7.9174724274439408</v>
      </c>
      <c r="R166">
        <f t="shared" si="118"/>
        <v>1.4441551522342515</v>
      </c>
      <c r="S166">
        <f t="shared" si="119"/>
        <v>0.99986519060625456</v>
      </c>
      <c r="T166">
        <f t="shared" si="120"/>
        <v>-1.6420257171132976E-2</v>
      </c>
      <c r="U166">
        <f t="shared" si="121"/>
        <v>0.93074918568286213</v>
      </c>
      <c r="V166">
        <f t="shared" si="122"/>
        <v>-0.37433992729973409</v>
      </c>
      <c r="X166">
        <f t="shared" si="139"/>
        <v>-9.548901164666276</v>
      </c>
      <c r="Y166">
        <f t="shared" si="123"/>
        <v>-118.75698135818698</v>
      </c>
      <c r="Z166">
        <f t="shared" si="140"/>
        <v>61.243018641813023</v>
      </c>
      <c r="AC166">
        <v>1</v>
      </c>
      <c r="AD166">
        <f t="shared" si="124"/>
        <v>7.4644241363999999</v>
      </c>
      <c r="AE166">
        <f t="shared" si="125"/>
        <v>-3.0954237604483834E-3</v>
      </c>
      <c r="AF166">
        <f t="shared" si="126"/>
        <v>7.8791143662000004E-3</v>
      </c>
      <c r="AG166">
        <f t="shared" si="141"/>
        <v>777.50490613400768</v>
      </c>
      <c r="AH166">
        <f t="shared" si="142"/>
        <v>-432.37183799826101</v>
      </c>
      <c r="AJ166">
        <f t="shared" si="127"/>
        <v>10500</v>
      </c>
      <c r="AK166">
        <f t="shared" si="128"/>
        <v>172.42819755084003</v>
      </c>
      <c r="AL166">
        <v>1</v>
      </c>
      <c r="AM166">
        <f t="shared" si="129"/>
        <v>7.8540670763200806</v>
      </c>
      <c r="AN166">
        <f t="shared" si="143"/>
        <v>189.10430924005587</v>
      </c>
      <c r="AO166">
        <f t="shared" si="144"/>
        <v>-1312.8097316417341</v>
      </c>
      <c r="AQ166">
        <f t="shared" si="130"/>
        <v>0.57388809182209466</v>
      </c>
      <c r="AR166">
        <f t="shared" si="131"/>
        <v>-75.753228120516496</v>
      </c>
      <c r="AT166">
        <f t="shared" si="156"/>
        <v>-32307.361669805705</v>
      </c>
      <c r="AU166">
        <f t="shared" si="157"/>
        <v>-59146.63956825668</v>
      </c>
      <c r="AV166">
        <f t="shared" si="145"/>
        <v>-2.0707364958354906</v>
      </c>
      <c r="AW166">
        <f t="shared" si="146"/>
        <v>-98584.737367534501</v>
      </c>
      <c r="AX166">
        <f t="shared" si="147"/>
        <v>-17375.089010357711</v>
      </c>
      <c r="AY166">
        <f t="shared" si="155"/>
        <v>-2.9671390220226832</v>
      </c>
      <c r="BA166">
        <f t="shared" si="132"/>
        <v>0.67324903842392747</v>
      </c>
      <c r="BB166">
        <f t="shared" si="148"/>
        <v>-3.4364851640469878</v>
      </c>
      <c r="BC166">
        <f t="shared" si="149"/>
        <v>0.89640252618719263</v>
      </c>
      <c r="BD166">
        <f t="shared" si="133"/>
        <v>-128.63991844592115</v>
      </c>
      <c r="BF166">
        <f t="shared" si="134"/>
        <v>-9.5164463070262038</v>
      </c>
      <c r="BG166">
        <f t="shared" si="135"/>
        <v>-120.12157139064261</v>
      </c>
      <c r="BH166">
        <f t="shared" si="150"/>
        <v>59.878428609357385</v>
      </c>
      <c r="BI166">
        <f t="shared" si="151"/>
        <v>59.878428609357385</v>
      </c>
      <c r="BJ166">
        <f t="shared" si="136"/>
        <v>0</v>
      </c>
      <c r="BK166">
        <f t="shared" si="152"/>
        <v>0</v>
      </c>
      <c r="BM166">
        <f t="shared" si="153"/>
        <v>-6.0799611429792151</v>
      </c>
      <c r="BN166">
        <f t="shared" si="137"/>
        <v>-171.48165294472145</v>
      </c>
      <c r="BQ166" s="56">
        <f t="shared" si="154"/>
        <v>13.46547563623815</v>
      </c>
      <c r="BR166" s="59"/>
      <c r="BS166" s="59"/>
      <c r="BT166" s="59">
        <v>3630.7809999999999</v>
      </c>
      <c r="BU166" s="59">
        <v>4.4950999999999999</v>
      </c>
      <c r="BV166" s="59">
        <v>-246.21199999999999</v>
      </c>
      <c r="BW166" s="61"/>
      <c r="BY166" s="59"/>
      <c r="BZ166" s="59"/>
      <c r="CA166" s="59"/>
      <c r="CC166" s="59"/>
    </row>
    <row r="167" spans="1:81" x14ac:dyDescent="0.2">
      <c r="A167">
        <f t="shared" si="158"/>
        <v>66500</v>
      </c>
      <c r="B167">
        <f t="shared" si="138"/>
        <v>66.5</v>
      </c>
      <c r="C167">
        <f t="shared" si="107"/>
        <v>1.0008725364992881</v>
      </c>
      <c r="D167">
        <f t="shared" si="108"/>
        <v>4.1758892179285981E-2</v>
      </c>
      <c r="F167">
        <f t="shared" si="109"/>
        <v>3.2568757240964016E-2</v>
      </c>
      <c r="G167">
        <f t="shared" si="110"/>
        <v>0.10637412804045217</v>
      </c>
      <c r="H167">
        <f t="shared" si="111"/>
        <v>-3.035218521959548</v>
      </c>
      <c r="J167">
        <f t="shared" si="112"/>
        <v>15</v>
      </c>
      <c r="M167">
        <f t="shared" si="113"/>
        <v>1.199652840927555E-2</v>
      </c>
      <c r="N167">
        <f t="shared" si="114"/>
        <v>-1.5707963250000001</v>
      </c>
      <c r="O167">
        <f t="shared" si="115"/>
        <v>7.587162310113829</v>
      </c>
      <c r="P167">
        <f t="shared" si="116"/>
        <v>1.4386101279073367</v>
      </c>
      <c r="Q167">
        <f t="shared" si="117"/>
        <v>7.9764999789405113</v>
      </c>
      <c r="R167">
        <f t="shared" si="118"/>
        <v>1.4450973060492249</v>
      </c>
      <c r="S167">
        <f t="shared" si="119"/>
        <v>0.99986314072357363</v>
      </c>
      <c r="T167">
        <f t="shared" si="120"/>
        <v>-1.6544630445185945E-2</v>
      </c>
      <c r="U167">
        <f t="shared" si="121"/>
        <v>0.9298042773434525</v>
      </c>
      <c r="V167">
        <f t="shared" si="122"/>
        <v>-0.37691561652486394</v>
      </c>
      <c r="X167">
        <f t="shared" si="139"/>
        <v>-9.6289870556940613</v>
      </c>
      <c r="Y167">
        <f t="shared" si="123"/>
        <v>-118.83194920349557</v>
      </c>
      <c r="Z167">
        <f t="shared" si="140"/>
        <v>61.168050796504431</v>
      </c>
      <c r="AC167">
        <v>1</v>
      </c>
      <c r="AD167">
        <f t="shared" si="124"/>
        <v>7.5209728041000012</v>
      </c>
      <c r="AE167">
        <f t="shared" si="125"/>
        <v>-3.1425017733339908E-3</v>
      </c>
      <c r="AF167">
        <f t="shared" si="126"/>
        <v>7.9388046265500001E-3</v>
      </c>
      <c r="AG167">
        <f t="shared" si="141"/>
        <v>775.92704185551872</v>
      </c>
      <c r="AH167">
        <f t="shared" si="142"/>
        <v>-433.10703144271537</v>
      </c>
      <c r="AJ167">
        <f t="shared" si="127"/>
        <v>10500</v>
      </c>
      <c r="AK167">
        <f t="shared" si="128"/>
        <v>173.73447177471002</v>
      </c>
      <c r="AL167">
        <v>1</v>
      </c>
      <c r="AM167">
        <f t="shared" si="129"/>
        <v>7.9135675844740216</v>
      </c>
      <c r="AN167">
        <f t="shared" si="143"/>
        <v>186.63957744151932</v>
      </c>
      <c r="AO167">
        <f t="shared" si="144"/>
        <v>-1303.2504382464263</v>
      </c>
      <c r="AQ167">
        <f t="shared" si="130"/>
        <v>0.56529112492933864</v>
      </c>
      <c r="AR167">
        <f t="shared" si="131"/>
        <v>-75.18371961560203</v>
      </c>
      <c r="AT167">
        <f t="shared" si="156"/>
        <v>-32123.972945181242</v>
      </c>
      <c r="AU167">
        <f t="shared" si="157"/>
        <v>-58581.912718047883</v>
      </c>
      <c r="AV167">
        <f t="shared" si="145"/>
        <v>-2.0723794868950165</v>
      </c>
      <c r="AW167">
        <f t="shared" si="146"/>
        <v>-97124.957338703462</v>
      </c>
      <c r="AX167">
        <f t="shared" si="147"/>
        <v>-17051.362120868187</v>
      </c>
      <c r="AY167">
        <f t="shared" si="155"/>
        <v>-2.9678026343742854</v>
      </c>
      <c r="BA167">
        <f t="shared" si="132"/>
        <v>0.67753115238533645</v>
      </c>
      <c r="BB167">
        <f t="shared" si="148"/>
        <v>-3.381414629056045</v>
      </c>
      <c r="BC167">
        <f t="shared" si="149"/>
        <v>0.89542314747926888</v>
      </c>
      <c r="BD167">
        <f t="shared" si="133"/>
        <v>-128.69603271249429</v>
      </c>
      <c r="BF167">
        <f t="shared" si="134"/>
        <v>-9.5959902553148506</v>
      </c>
      <c r="BG167">
        <f t="shared" si="135"/>
        <v>-120.20863583767891</v>
      </c>
      <c r="BH167">
        <f t="shared" si="150"/>
        <v>59.791364162321088</v>
      </c>
      <c r="BI167">
        <f t="shared" si="151"/>
        <v>59.791364162321088</v>
      </c>
      <c r="BJ167">
        <f t="shared" si="136"/>
        <v>0</v>
      </c>
      <c r="BK167">
        <f t="shared" si="152"/>
        <v>0</v>
      </c>
      <c r="BM167">
        <f t="shared" si="153"/>
        <v>-6.2145756262588066</v>
      </c>
      <c r="BN167">
        <f t="shared" si="137"/>
        <v>-171.51260312518465</v>
      </c>
      <c r="BQ167" s="56">
        <f t="shared" si="154"/>
        <v>13.520546171229093</v>
      </c>
      <c r="BR167" s="59"/>
      <c r="BS167" s="59"/>
      <c r="BT167" s="59">
        <v>3715.3519999999999</v>
      </c>
      <c r="BU167" s="59">
        <v>4.3437000000000001</v>
      </c>
      <c r="BV167" s="59">
        <v>-245.97</v>
      </c>
      <c r="BW167" s="61"/>
      <c r="BY167" s="59"/>
      <c r="BZ167" s="59"/>
      <c r="CA167" s="59"/>
      <c r="CC167" s="59"/>
    </row>
    <row r="168" spans="1:81" x14ac:dyDescent="0.2">
      <c r="A168">
        <f t="shared" si="158"/>
        <v>67000</v>
      </c>
      <c r="B168">
        <f t="shared" si="138"/>
        <v>67</v>
      </c>
      <c r="C168">
        <f t="shared" si="107"/>
        <v>1.0008857008481087</v>
      </c>
      <c r="D168">
        <f t="shared" si="108"/>
        <v>4.2072499810428099E-2</v>
      </c>
      <c r="F168">
        <f t="shared" si="109"/>
        <v>3.2071404046102897E-2</v>
      </c>
      <c r="G168">
        <f t="shared" si="110"/>
        <v>0.10553416134881655</v>
      </c>
      <c r="H168">
        <f t="shared" si="111"/>
        <v>-3.0360584886511837</v>
      </c>
      <c r="J168">
        <f t="shared" si="112"/>
        <v>15</v>
      </c>
      <c r="M168">
        <f t="shared" si="113"/>
        <v>1.1907002077863046E-2</v>
      </c>
      <c r="N168">
        <f t="shared" si="114"/>
        <v>-1.5707963250000001</v>
      </c>
      <c r="O168">
        <f t="shared" si="115"/>
        <v>7.6432212878857584</v>
      </c>
      <c r="P168">
        <f t="shared" si="116"/>
        <v>1.4395852671579068</v>
      </c>
      <c r="Q168">
        <f t="shared" si="117"/>
        <v>8.0355345067818646</v>
      </c>
      <c r="R168">
        <f t="shared" si="118"/>
        <v>1.4460256172666028</v>
      </c>
      <c r="S168">
        <f t="shared" si="119"/>
        <v>0.99986107538283087</v>
      </c>
      <c r="T168">
        <f t="shared" si="120"/>
        <v>-1.6669003207346097E-2</v>
      </c>
      <c r="U168">
        <f t="shared" si="121"/>
        <v>0.92885514219629406</v>
      </c>
      <c r="V168">
        <f t="shared" si="122"/>
        <v>-0.37948606429694648</v>
      </c>
      <c r="X168">
        <f t="shared" si="139"/>
        <v>-9.7084999656810425</v>
      </c>
      <c r="Y168">
        <f t="shared" si="123"/>
        <v>-118.90744952108825</v>
      </c>
      <c r="Z168">
        <f t="shared" si="140"/>
        <v>61.092550478911747</v>
      </c>
      <c r="AC168">
        <v>1</v>
      </c>
      <c r="AD168">
        <f t="shared" si="124"/>
        <v>7.5775214717999999</v>
      </c>
      <c r="AE168">
        <f t="shared" si="125"/>
        <v>-3.1899350919772254E-3</v>
      </c>
      <c r="AF168">
        <f t="shared" si="126"/>
        <v>7.9984948868999997E-3</v>
      </c>
      <c r="AG168">
        <f t="shared" si="141"/>
        <v>774.34373285256834</v>
      </c>
      <c r="AH168">
        <f t="shared" si="142"/>
        <v>-433.84490404093577</v>
      </c>
      <c r="AJ168">
        <f t="shared" si="127"/>
        <v>10500</v>
      </c>
      <c r="AK168">
        <f t="shared" si="128"/>
        <v>175.04074599858004</v>
      </c>
      <c r="AL168">
        <v>1</v>
      </c>
      <c r="AM168">
        <f t="shared" si="129"/>
        <v>7.9730680926279609</v>
      </c>
      <c r="AN168">
        <f t="shared" si="143"/>
        <v>184.22868056681119</v>
      </c>
      <c r="AO168">
        <f t="shared" si="144"/>
        <v>-1293.8270687756115</v>
      </c>
      <c r="AQ168">
        <f t="shared" si="130"/>
        <v>0.55688589408030298</v>
      </c>
      <c r="AR168">
        <f t="shared" si="131"/>
        <v>-74.622709806760597</v>
      </c>
      <c r="AT168">
        <f t="shared" si="156"/>
        <v>-31943.461273393568</v>
      </c>
      <c r="AU168">
        <f t="shared" si="157"/>
        <v>-58025.229774619977</v>
      </c>
      <c r="AV168">
        <f t="shared" si="145"/>
        <v>-2.0740309026935839</v>
      </c>
      <c r="AW168">
        <f t="shared" si="146"/>
        <v>-95697.047104607045</v>
      </c>
      <c r="AX168">
        <f t="shared" si="147"/>
        <v>-16736.726162988249</v>
      </c>
      <c r="AY168">
        <f t="shared" si="155"/>
        <v>-2.9684509869241573</v>
      </c>
      <c r="BA168">
        <f t="shared" si="132"/>
        <v>0.68180202779065047</v>
      </c>
      <c r="BB168">
        <f t="shared" si="148"/>
        <v>-3.3268342288489086</v>
      </c>
      <c r="BC168">
        <f t="shared" si="149"/>
        <v>0.8944200842305734</v>
      </c>
      <c r="BD168">
        <f t="shared" si="133"/>
        <v>-128.75350400329489</v>
      </c>
      <c r="BF168">
        <f t="shared" si="134"/>
        <v>-9.6749598884815082</v>
      </c>
      <c r="BG168">
        <f t="shared" si="135"/>
        <v>-120.29626528118874</v>
      </c>
      <c r="BH168">
        <f t="shared" si="150"/>
        <v>59.703734718811262</v>
      </c>
      <c r="BI168">
        <f t="shared" si="151"/>
        <v>59.703734718811262</v>
      </c>
      <c r="BJ168">
        <f t="shared" si="136"/>
        <v>0</v>
      </c>
      <c r="BK168">
        <f t="shared" si="152"/>
        <v>0</v>
      </c>
      <c r="BM168">
        <f t="shared" si="153"/>
        <v>-6.3481256596325988</v>
      </c>
      <c r="BN168">
        <f t="shared" si="137"/>
        <v>-171.54276127789387</v>
      </c>
      <c r="BQ168" s="56">
        <f t="shared" si="154"/>
        <v>13.575126571436227</v>
      </c>
      <c r="BR168" s="59"/>
      <c r="BS168" s="59"/>
      <c r="BT168" s="59">
        <v>3801.8939999999998</v>
      </c>
      <c r="BU168" s="59">
        <v>4.1437400000000002</v>
      </c>
      <c r="BV168" s="59">
        <v>-245.16899999999998</v>
      </c>
      <c r="BW168" s="61"/>
      <c r="BY168" s="59"/>
      <c r="BZ168" s="59"/>
      <c r="CA168" s="59"/>
      <c r="CC168" s="59"/>
    </row>
    <row r="169" spans="1:81" x14ac:dyDescent="0.2">
      <c r="A169">
        <f t="shared" si="158"/>
        <v>67500</v>
      </c>
      <c r="B169">
        <f t="shared" si="138"/>
        <v>67.5</v>
      </c>
      <c r="C169">
        <f t="shared" si="107"/>
        <v>1.0008989636311889</v>
      </c>
      <c r="D169">
        <f t="shared" si="108"/>
        <v>4.2386099161263409E-2</v>
      </c>
      <c r="F169">
        <f t="shared" si="109"/>
        <v>3.1585451356408029E-2</v>
      </c>
      <c r="G169">
        <f t="shared" si="110"/>
        <v>0.10470768579585703</v>
      </c>
      <c r="H169">
        <f t="shared" si="111"/>
        <v>-3.0368849642041433</v>
      </c>
      <c r="J169">
        <f t="shared" si="112"/>
        <v>15</v>
      </c>
      <c r="M169">
        <f t="shared" si="113"/>
        <v>1.1818802062471467E-2</v>
      </c>
      <c r="N169">
        <f t="shared" si="114"/>
        <v>-1.5707963250000001</v>
      </c>
      <c r="O169">
        <f t="shared" si="115"/>
        <v>7.6992874277302796</v>
      </c>
      <c r="P169">
        <f t="shared" si="116"/>
        <v>1.4405462054011642</v>
      </c>
      <c r="Q169">
        <f t="shared" si="117"/>
        <v>8.0945758583305203</v>
      </c>
      <c r="R169">
        <f t="shared" si="118"/>
        <v>1.4469403871698887</v>
      </c>
      <c r="S169">
        <f t="shared" si="119"/>
        <v>0.99985899458431349</v>
      </c>
      <c r="T169">
        <f t="shared" si="120"/>
        <v>-1.6793375453768869E-2</v>
      </c>
      <c r="U169">
        <f t="shared" si="121"/>
        <v>0.92790183074084076</v>
      </c>
      <c r="V169">
        <f t="shared" si="122"/>
        <v>-0.3820512527359764</v>
      </c>
      <c r="X169">
        <f t="shared" si="139"/>
        <v>-9.7874507009842517</v>
      </c>
      <c r="Y169">
        <f t="shared" si="123"/>
        <v>-118.98346547859506</v>
      </c>
      <c r="Z169">
        <f t="shared" si="140"/>
        <v>61.016534521404935</v>
      </c>
      <c r="AC169">
        <v>1</v>
      </c>
      <c r="AD169">
        <f t="shared" si="124"/>
        <v>7.6340701395000012</v>
      </c>
      <c r="AE169">
        <f t="shared" si="125"/>
        <v>-3.2377237163780871E-3</v>
      </c>
      <c r="AF169">
        <f t="shared" si="126"/>
        <v>8.0581851472499993E-3</v>
      </c>
      <c r="AG169">
        <f t="shared" si="141"/>
        <v>772.75508484064858</v>
      </c>
      <c r="AH169">
        <f t="shared" si="142"/>
        <v>-434.58513314693914</v>
      </c>
      <c r="AJ169">
        <f t="shared" si="127"/>
        <v>10500</v>
      </c>
      <c r="AK169">
        <f t="shared" si="128"/>
        <v>176.34702022245003</v>
      </c>
      <c r="AL169">
        <v>1</v>
      </c>
      <c r="AM169">
        <f t="shared" si="129"/>
        <v>8.0325686007819019</v>
      </c>
      <c r="AN169">
        <f t="shared" si="143"/>
        <v>181.87007024619126</v>
      </c>
      <c r="AO169">
        <f t="shared" si="144"/>
        <v>-1284.5367954591047</v>
      </c>
      <c r="AQ169">
        <f t="shared" si="130"/>
        <v>0.54866673982223202</v>
      </c>
      <c r="AR169">
        <f t="shared" si="131"/>
        <v>-74.070009876001322</v>
      </c>
      <c r="AT169">
        <f t="shared" si="156"/>
        <v>-31765.740091076561</v>
      </c>
      <c r="AU169">
        <f t="shared" si="157"/>
        <v>-57476.41917405602</v>
      </c>
      <c r="AV169">
        <f t="shared" si="145"/>
        <v>-2.0756904289934406</v>
      </c>
      <c r="AW169">
        <f t="shared" si="146"/>
        <v>-94300.091698504752</v>
      </c>
      <c r="AX169">
        <f t="shared" si="147"/>
        <v>-16430.85762816139</v>
      </c>
      <c r="AY169">
        <f t="shared" si="155"/>
        <v>-2.9690843994702405</v>
      </c>
      <c r="BA169">
        <f t="shared" si="132"/>
        <v>0.68606159885480966</v>
      </c>
      <c r="BB169">
        <f t="shared" si="148"/>
        <v>-3.2727377779431732</v>
      </c>
      <c r="BC169">
        <f t="shared" si="149"/>
        <v>0.89339397047679991</v>
      </c>
      <c r="BD169">
        <f t="shared" si="133"/>
        <v>-128.81229599075363</v>
      </c>
      <c r="BF169">
        <f t="shared" si="134"/>
        <v>-9.7533660585845379</v>
      </c>
      <c r="BG169">
        <f t="shared" si="135"/>
        <v>-120.38444291047549</v>
      </c>
      <c r="BH169">
        <f t="shared" si="150"/>
        <v>59.615557089524515</v>
      </c>
      <c r="BI169">
        <f t="shared" si="151"/>
        <v>59.615557089524515</v>
      </c>
      <c r="BJ169">
        <f t="shared" si="136"/>
        <v>0</v>
      </c>
      <c r="BK169">
        <f t="shared" si="152"/>
        <v>0</v>
      </c>
      <c r="BM169">
        <f t="shared" si="153"/>
        <v>-6.4806282806413655</v>
      </c>
      <c r="BN169">
        <f t="shared" si="137"/>
        <v>-171.57214691972189</v>
      </c>
      <c r="BQ169" s="56">
        <f t="shared" si="154"/>
        <v>13.629223022341963</v>
      </c>
      <c r="BR169" s="59"/>
      <c r="BS169" s="59"/>
      <c r="BT169" s="59">
        <v>3890.451</v>
      </c>
      <c r="BU169" s="59">
        <v>3.9573</v>
      </c>
      <c r="BV169" s="59">
        <v>-244.768</v>
      </c>
      <c r="BW169" s="61"/>
      <c r="BY169" s="59"/>
      <c r="BZ169" s="59"/>
      <c r="CA169" s="59"/>
      <c r="CC169" s="59"/>
    </row>
    <row r="170" spans="1:81" x14ac:dyDescent="0.2">
      <c r="A170">
        <f t="shared" si="158"/>
        <v>68000</v>
      </c>
      <c r="B170">
        <f t="shared" si="138"/>
        <v>68</v>
      </c>
      <c r="C170">
        <f t="shared" si="107"/>
        <v>1.0009123248446157</v>
      </c>
      <c r="D170">
        <f t="shared" si="108"/>
        <v>4.2699690170440723E-2</v>
      </c>
      <c r="F170">
        <f t="shared" si="109"/>
        <v>3.1110550662542744E-2</v>
      </c>
      <c r="G170">
        <f t="shared" si="110"/>
        <v>0.10389437209126257</v>
      </c>
      <c r="H170">
        <f t="shared" si="111"/>
        <v>-3.0376982779087376</v>
      </c>
      <c r="J170">
        <f t="shared" si="112"/>
        <v>15</v>
      </c>
      <c r="M170">
        <f t="shared" si="113"/>
        <v>1.1731899106129763E-2</v>
      </c>
      <c r="N170">
        <f t="shared" si="114"/>
        <v>-1.5707963250000001</v>
      </c>
      <c r="O170">
        <f t="shared" si="115"/>
        <v>7.7553605743162146</v>
      </c>
      <c r="P170">
        <f t="shared" si="116"/>
        <v>1.441493248873144</v>
      </c>
      <c r="Q170">
        <f t="shared" si="117"/>
        <v>8.1536238853526779</v>
      </c>
      <c r="R170">
        <f t="shared" si="118"/>
        <v>1.4478419084072545</v>
      </c>
      <c r="S170">
        <f t="shared" si="119"/>
        <v>0.99985689832831159</v>
      </c>
      <c r="T170">
        <f t="shared" si="120"/>
        <v>-1.6917747180609798E-2</v>
      </c>
      <c r="U170">
        <f t="shared" si="121"/>
        <v>0.92694439340205981</v>
      </c>
      <c r="V170">
        <f t="shared" si="122"/>
        <v>-0.38461116431189629</v>
      </c>
      <c r="X170">
        <f t="shared" si="139"/>
        <v>-9.8658497652089299</v>
      </c>
      <c r="Y170">
        <f t="shared" si="123"/>
        <v>-119.05998062832009</v>
      </c>
      <c r="Z170">
        <f t="shared" si="140"/>
        <v>60.940019371679909</v>
      </c>
      <c r="AC170">
        <v>1</v>
      </c>
      <c r="AD170">
        <f t="shared" si="124"/>
        <v>7.6906188072000008</v>
      </c>
      <c r="AE170">
        <f t="shared" si="125"/>
        <v>-3.2858676465365761E-3</v>
      </c>
      <c r="AF170">
        <f t="shared" si="126"/>
        <v>8.1178754076000007E-3</v>
      </c>
      <c r="AG170">
        <f t="shared" si="141"/>
        <v>771.16120316033812</v>
      </c>
      <c r="AH170">
        <f t="shared" si="142"/>
        <v>-435.32740653056658</v>
      </c>
      <c r="AJ170">
        <f t="shared" si="127"/>
        <v>10500</v>
      </c>
      <c r="AK170">
        <f t="shared" si="128"/>
        <v>177.65329444632002</v>
      </c>
      <c r="AL170">
        <v>1</v>
      </c>
      <c r="AM170">
        <f t="shared" si="129"/>
        <v>8.0920691089358403</v>
      </c>
      <c r="AN170">
        <f t="shared" si="143"/>
        <v>179.56225308853075</v>
      </c>
      <c r="AO170">
        <f t="shared" si="144"/>
        <v>-1275.3768669022988</v>
      </c>
      <c r="AQ170">
        <f t="shared" si="130"/>
        <v>0.54062820997999672</v>
      </c>
      <c r="AR170">
        <f t="shared" si="131"/>
        <v>-73.525436557279562</v>
      </c>
      <c r="AT170">
        <f t="shared" si="156"/>
        <v>-31590.726109637624</v>
      </c>
      <c r="AU170">
        <f t="shared" si="157"/>
        <v>-56935.314394948669</v>
      </c>
      <c r="AV170">
        <f t="shared" si="145"/>
        <v>-2.0773577603618545</v>
      </c>
      <c r="AW170">
        <f t="shared" si="146"/>
        <v>-92933.208568672722</v>
      </c>
      <c r="AX170">
        <f t="shared" si="147"/>
        <v>-16133.446798134624</v>
      </c>
      <c r="AY170">
        <f t="shared" si="155"/>
        <v>-2.9697031826751528</v>
      </c>
      <c r="BA170">
        <f t="shared" si="132"/>
        <v>0.69030980161274214</v>
      </c>
      <c r="BB170">
        <f t="shared" si="148"/>
        <v>-3.2191192016209103</v>
      </c>
      <c r="BC170">
        <f t="shared" si="149"/>
        <v>0.89234542231329828</v>
      </c>
      <c r="BD170">
        <f t="shared" si="133"/>
        <v>-128.8723733752071</v>
      </c>
      <c r="BF170">
        <f t="shared" si="134"/>
        <v>-9.8312193147883136</v>
      </c>
      <c r="BG170">
        <f t="shared" si="135"/>
        <v>-120.47315229633597</v>
      </c>
      <c r="BH170">
        <f t="shared" si="150"/>
        <v>59.526847703664032</v>
      </c>
      <c r="BI170">
        <f t="shared" si="151"/>
        <v>59.526847703664032</v>
      </c>
      <c r="BJ170">
        <f t="shared" si="136"/>
        <v>0</v>
      </c>
      <c r="BK170">
        <f t="shared" si="152"/>
        <v>0</v>
      </c>
      <c r="BM170">
        <f t="shared" si="153"/>
        <v>-6.6121001131674042</v>
      </c>
      <c r="BN170">
        <f t="shared" si="137"/>
        <v>-171.60077892112889</v>
      </c>
      <c r="BQ170" s="56">
        <f t="shared" si="154"/>
        <v>13.682841598664226</v>
      </c>
      <c r="BR170" s="59"/>
      <c r="BS170" s="59"/>
      <c r="BT170" s="59">
        <v>3981.0720000000001</v>
      </c>
      <c r="BU170" s="59">
        <v>3.8980899999999998</v>
      </c>
      <c r="BV170" s="59">
        <v>-244.315</v>
      </c>
      <c r="BW170" s="61"/>
      <c r="BY170" s="59"/>
      <c r="BZ170" s="59"/>
      <c r="CA170" s="59"/>
      <c r="CC170" s="59"/>
    </row>
    <row r="171" spans="1:81" x14ac:dyDescent="0.2">
      <c r="A171">
        <f t="shared" si="158"/>
        <v>68500</v>
      </c>
      <c r="B171">
        <f t="shared" si="138"/>
        <v>68.5</v>
      </c>
      <c r="C171">
        <f t="shared" si="107"/>
        <v>1.0009257844844477</v>
      </c>
      <c r="D171">
        <f t="shared" si="108"/>
        <v>4.3013272776618691E-2</v>
      </c>
      <c r="F171">
        <f t="shared" si="109"/>
        <v>3.0646366767907308E-2</v>
      </c>
      <c r="G171">
        <f t="shared" si="110"/>
        <v>0.10309390175719506</v>
      </c>
      <c r="H171">
        <f t="shared" si="111"/>
        <v>-3.0384987482428052</v>
      </c>
      <c r="J171">
        <f t="shared" si="112"/>
        <v>15</v>
      </c>
      <c r="M171">
        <f t="shared" si="113"/>
        <v>1.1646264806085023E-2</v>
      </c>
      <c r="N171">
        <f t="shared" si="114"/>
        <v>-1.5707963250000001</v>
      </c>
      <c r="O171">
        <f t="shared" si="115"/>
        <v>7.8114405767533324</v>
      </c>
      <c r="P171">
        <f t="shared" si="116"/>
        <v>1.4424266951170996</v>
      </c>
      <c r="Q171">
        <f t="shared" si="117"/>
        <v>8.2126784438611278</v>
      </c>
      <c r="R171">
        <f t="shared" si="118"/>
        <v>1.4487304652971182</v>
      </c>
      <c r="S171">
        <f t="shared" si="119"/>
        <v>0.99985478661511629</v>
      </c>
      <c r="T171">
        <f t="shared" si="120"/>
        <v>-1.7042118384024526E-2</v>
      </c>
      <c r="U171">
        <f t="shared" si="121"/>
        <v>0.92598288052498479</v>
      </c>
      <c r="V171">
        <f t="shared" si="122"/>
        <v>-0.38716578184333245</v>
      </c>
      <c r="X171">
        <f t="shared" si="139"/>
        <v>-9.9437073701441658</v>
      </c>
      <c r="Y171">
        <f t="shared" si="123"/>
        <v>-119.13697889835545</v>
      </c>
      <c r="Z171">
        <f t="shared" si="140"/>
        <v>60.863021101644549</v>
      </c>
      <c r="AC171">
        <v>1</v>
      </c>
      <c r="AD171">
        <f t="shared" si="124"/>
        <v>7.7471674749000012</v>
      </c>
      <c r="AE171">
        <f t="shared" si="125"/>
        <v>-3.3343668824526917E-3</v>
      </c>
      <c r="AF171">
        <f t="shared" si="126"/>
        <v>8.1775656679500004E-3</v>
      </c>
      <c r="AG171">
        <f t="shared" si="141"/>
        <v>769.56219276513264</v>
      </c>
      <c r="AH171">
        <f t="shared" si="142"/>
        <v>-436.07142202719587</v>
      </c>
      <c r="AJ171">
        <f t="shared" si="127"/>
        <v>10500</v>
      </c>
      <c r="AK171">
        <f t="shared" si="128"/>
        <v>178.95956867019004</v>
      </c>
      <c r="AL171">
        <v>1</v>
      </c>
      <c r="AM171">
        <f t="shared" si="129"/>
        <v>8.1515696170897805</v>
      </c>
      <c r="AN171">
        <f t="shared" si="143"/>
        <v>177.30378836766198</v>
      </c>
      <c r="AO171">
        <f t="shared" si="144"/>
        <v>-1266.34460558256</v>
      </c>
      <c r="AQ171">
        <f t="shared" si="130"/>
        <v>0.53276505061267976</v>
      </c>
      <c r="AR171">
        <f t="shared" si="131"/>
        <v>-72.988811933937129</v>
      </c>
      <c r="AT171">
        <f t="shared" si="156"/>
        <v>-31418.339171529406</v>
      </c>
      <c r="AU171">
        <f t="shared" si="157"/>
        <v>-56401.753772429598</v>
      </c>
      <c r="AV171">
        <f t="shared" si="145"/>
        <v>-2.0790325998723285</v>
      </c>
      <c r="AW171">
        <f t="shared" si="146"/>
        <v>-91595.546217890485</v>
      </c>
      <c r="AX171">
        <f t="shared" si="147"/>
        <v>-15844.197063134267</v>
      </c>
      <c r="AY171">
        <f t="shared" si="155"/>
        <v>-2.9703076383915366</v>
      </c>
      <c r="BA171">
        <f t="shared" si="132"/>
        <v>0.69454657388270968</v>
      </c>
      <c r="BB171">
        <f t="shared" si="148"/>
        <v>-3.1659725333846884</v>
      </c>
      <c r="BC171">
        <f t="shared" si="149"/>
        <v>0.89127503851920808</v>
      </c>
      <c r="BD171">
        <f t="shared" si="133"/>
        <v>-128.93370184913775</v>
      </c>
      <c r="BF171">
        <f t="shared" si="134"/>
        <v>-9.9085299142934868</v>
      </c>
      <c r="BG171">
        <f t="shared" si="135"/>
        <v>-120.56237738220328</v>
      </c>
      <c r="BH171">
        <f t="shared" si="150"/>
        <v>59.43762261779672</v>
      </c>
      <c r="BI171">
        <f t="shared" si="151"/>
        <v>59.43762261779672</v>
      </c>
      <c r="BJ171">
        <f t="shared" si="136"/>
        <v>0</v>
      </c>
      <c r="BK171">
        <f t="shared" si="152"/>
        <v>0</v>
      </c>
      <c r="BM171">
        <f t="shared" si="153"/>
        <v>-6.7425573809087993</v>
      </c>
      <c r="BN171">
        <f t="shared" si="137"/>
        <v>-171.62867553306552</v>
      </c>
      <c r="BQ171" s="56">
        <f t="shared" si="154"/>
        <v>13.735988266900449</v>
      </c>
      <c r="BR171" s="59"/>
      <c r="BS171" s="59"/>
      <c r="BT171" s="59">
        <v>4073.8029999999999</v>
      </c>
      <c r="BU171" s="59">
        <v>3.5600999999999998</v>
      </c>
      <c r="BV171" s="59">
        <v>-244.142</v>
      </c>
      <c r="BW171" s="61"/>
      <c r="BY171" s="59"/>
      <c r="BZ171" s="59"/>
      <c r="CA171" s="59"/>
      <c r="CC171" s="59"/>
    </row>
    <row r="172" spans="1:81" x14ac:dyDescent="0.2">
      <c r="A172">
        <f t="shared" si="158"/>
        <v>69000</v>
      </c>
      <c r="B172">
        <f t="shared" si="138"/>
        <v>69</v>
      </c>
      <c r="C172">
        <f t="shared" si="107"/>
        <v>1.0009393425467139</v>
      </c>
      <c r="D172">
        <f t="shared" si="108"/>
        <v>4.3326846918465847E-2</v>
      </c>
      <c r="F172">
        <f t="shared" si="109"/>
        <v>3.0192577178966468E-2</v>
      </c>
      <c r="G172">
        <f t="shared" si="110"/>
        <v>0.10230596668223507</v>
      </c>
      <c r="H172">
        <f t="shared" si="111"/>
        <v>-3.0392866833177652</v>
      </c>
      <c r="J172">
        <f t="shared" si="112"/>
        <v>15</v>
      </c>
      <c r="M172">
        <f t="shared" si="113"/>
        <v>1.1561871582852523E-2</v>
      </c>
      <c r="N172">
        <f t="shared" si="114"/>
        <v>-1.5707963250000001</v>
      </c>
      <c r="O172">
        <f t="shared" si="115"/>
        <v>7.8675272884354079</v>
      </c>
      <c r="P172">
        <f t="shared" si="116"/>
        <v>1.4433468332880213</v>
      </c>
      <c r="Q172">
        <f t="shared" si="117"/>
        <v>8.2717393939648467</v>
      </c>
      <c r="R172">
        <f t="shared" si="118"/>
        <v>1.4496063341209042</v>
      </c>
      <c r="S172">
        <f t="shared" si="119"/>
        <v>0.99985265944502233</v>
      </c>
      <c r="T172">
        <f t="shared" si="120"/>
        <v>-1.716648906016878E-2</v>
      </c>
      <c r="U172">
        <f t="shared" si="121"/>
        <v>0.92501734236934752</v>
      </c>
      <c r="V172">
        <f t="shared" si="122"/>
        <v>-0.38971508849629216</v>
      </c>
      <c r="X172">
        <f t="shared" si="139"/>
        <v>-10.021033446213414</v>
      </c>
      <c r="Y172">
        <f t="shared" si="123"/>
        <v>-119.21444458384194</v>
      </c>
      <c r="Z172">
        <f t="shared" si="140"/>
        <v>60.785555416158061</v>
      </c>
      <c r="AC172">
        <v>1</v>
      </c>
      <c r="AD172">
        <f t="shared" si="124"/>
        <v>7.8037161426000008</v>
      </c>
      <c r="AE172">
        <f t="shared" si="125"/>
        <v>-3.3832214241264354E-3</v>
      </c>
      <c r="AF172">
        <f t="shared" si="126"/>
        <v>8.2372559283E-3</v>
      </c>
      <c r="AG172">
        <f t="shared" si="141"/>
        <v>767.95815820950816</v>
      </c>
      <c r="AH172">
        <f t="shared" si="142"/>
        <v>-436.81688720210434</v>
      </c>
      <c r="AJ172">
        <f t="shared" si="127"/>
        <v>10500</v>
      </c>
      <c r="AK172">
        <f t="shared" si="128"/>
        <v>180.26584289406003</v>
      </c>
      <c r="AL172">
        <v>1</v>
      </c>
      <c r="AM172">
        <f t="shared" si="129"/>
        <v>8.2110701252437206</v>
      </c>
      <c r="AN172">
        <f t="shared" si="143"/>
        <v>175.0932858209155</v>
      </c>
      <c r="AO172">
        <f t="shared" si="144"/>
        <v>-1257.437405440819</v>
      </c>
      <c r="AQ172">
        <f t="shared" si="130"/>
        <v>0.52507219742714628</v>
      </c>
      <c r="AR172">
        <f t="shared" si="131"/>
        <v>-72.459963244946181</v>
      </c>
      <c r="AT172">
        <f t="shared" si="156"/>
        <v>-31248.502113773113</v>
      </c>
      <c r="AU172">
        <f t="shared" si="157"/>
        <v>-55875.58032035402</v>
      </c>
      <c r="AV172">
        <f t="shared" si="145"/>
        <v>-2.0807146588181671</v>
      </c>
      <c r="AW172">
        <f t="shared" si="146"/>
        <v>-90286.282908692228</v>
      </c>
      <c r="AX172">
        <f t="shared" si="147"/>
        <v>-15562.824278279395</v>
      </c>
      <c r="AY172">
        <f t="shared" si="155"/>
        <v>-2.9708980599737074</v>
      </c>
      <c r="BA172">
        <f t="shared" si="132"/>
        <v>0.69877185523094076</v>
      </c>
      <c r="BB172">
        <f t="shared" si="148"/>
        <v>-3.1132919124785201</v>
      </c>
      <c r="BC172">
        <f t="shared" si="149"/>
        <v>0.89018340115554029</v>
      </c>
      <c r="BD172">
        <f t="shared" si="133"/>
        <v>-128.99624806290618</v>
      </c>
      <c r="BF172">
        <f t="shared" si="134"/>
        <v>-9.9853078327823628</v>
      </c>
      <c r="BG172">
        <f t="shared" si="135"/>
        <v>-120.65210247543601</v>
      </c>
      <c r="BH172">
        <f t="shared" si="150"/>
        <v>59.34789752456399</v>
      </c>
      <c r="BI172">
        <f t="shared" si="151"/>
        <v>59.34789752456399</v>
      </c>
      <c r="BJ172">
        <f t="shared" si="136"/>
        <v>0</v>
      </c>
      <c r="BK172">
        <f t="shared" si="152"/>
        <v>0</v>
      </c>
      <c r="BM172">
        <f t="shared" si="153"/>
        <v>-6.8720159203038422</v>
      </c>
      <c r="BN172">
        <f t="shared" si="137"/>
        <v>-171.65585441252983</v>
      </c>
      <c r="BQ172" s="56">
        <f t="shared" si="154"/>
        <v>13.788668887806617</v>
      </c>
      <c r="BR172" s="59"/>
      <c r="BS172" s="59"/>
      <c r="BT172" s="59">
        <v>4168.6940000000004</v>
      </c>
      <c r="BU172" s="59">
        <v>3.4098799999999998</v>
      </c>
      <c r="BV172" s="59">
        <v>-243.709</v>
      </c>
      <c r="BW172" s="61"/>
      <c r="BY172" s="59"/>
      <c r="BZ172" s="59"/>
      <c r="CA172" s="59"/>
      <c r="CC172" s="59"/>
    </row>
    <row r="173" spans="1:81" x14ac:dyDescent="0.2">
      <c r="A173">
        <f t="shared" si="158"/>
        <v>69500</v>
      </c>
      <c r="B173">
        <f t="shared" si="138"/>
        <v>69.5</v>
      </c>
      <c r="C173">
        <f t="shared" si="107"/>
        <v>1.0009529990274151</v>
      </c>
      <c r="D173">
        <f t="shared" si="108"/>
        <v>4.3640412534660708E-2</v>
      </c>
      <c r="F173">
        <f t="shared" si="109"/>
        <v>2.9748871528100889E-2</v>
      </c>
      <c r="G173">
        <f t="shared" si="110"/>
        <v>0.10153026869744779</v>
      </c>
      <c r="H173">
        <f t="shared" si="111"/>
        <v>-3.0400623813025525</v>
      </c>
      <c r="J173">
        <f t="shared" si="112"/>
        <v>15</v>
      </c>
      <c r="M173">
        <f t="shared" si="113"/>
        <v>1.1478692650601785E-2</v>
      </c>
      <c r="N173">
        <f t="shared" si="114"/>
        <v>-1.5707963250000001</v>
      </c>
      <c r="O173">
        <f t="shared" si="115"/>
        <v>7.9236205668898911</v>
      </c>
      <c r="P173">
        <f t="shared" si="116"/>
        <v>1.4442539444445139</v>
      </c>
      <c r="Q173">
        <f t="shared" si="117"/>
        <v>8.3308065997248892</v>
      </c>
      <c r="R173">
        <f t="shared" si="118"/>
        <v>1.4504697834036058</v>
      </c>
      <c r="S173">
        <f t="shared" si="119"/>
        <v>0.99985051681832515</v>
      </c>
      <c r="T173">
        <f t="shared" si="120"/>
        <v>-1.7290859205198392E-2</v>
      </c>
      <c r="U173">
        <f t="shared" si="121"/>
        <v>0.9240478291042854</v>
      </c>
      <c r="V173">
        <f t="shared" si="122"/>
        <v>-0.39225906778282055</v>
      </c>
      <c r="X173">
        <f t="shared" si="139"/>
        <v>-10.097837652465245</v>
      </c>
      <c r="Y173">
        <f t="shared" si="123"/>
        <v>-119.29236233838348</v>
      </c>
      <c r="Z173">
        <f t="shared" si="140"/>
        <v>60.707637661616516</v>
      </c>
      <c r="AC173">
        <v>1</v>
      </c>
      <c r="AD173">
        <f t="shared" si="124"/>
        <v>7.8602648103000012</v>
      </c>
      <c r="AE173">
        <f t="shared" si="125"/>
        <v>-3.4324312715578059E-3</v>
      </c>
      <c r="AF173">
        <f t="shared" si="126"/>
        <v>8.2969461886499996E-3</v>
      </c>
      <c r="AG173">
        <f t="shared" si="141"/>
        <v>766.34920363722699</v>
      </c>
      <c r="AH173">
        <f t="shared" si="142"/>
        <v>-437.56351902874638</v>
      </c>
      <c r="AJ173">
        <f t="shared" si="127"/>
        <v>10500</v>
      </c>
      <c r="AK173">
        <f t="shared" si="128"/>
        <v>181.57211711793002</v>
      </c>
      <c r="AL173">
        <v>1</v>
      </c>
      <c r="AM173">
        <f t="shared" si="129"/>
        <v>8.2705706333976607</v>
      </c>
      <c r="AN173">
        <f t="shared" si="143"/>
        <v>172.92940355370263</v>
      </c>
      <c r="AO173">
        <f t="shared" si="144"/>
        <v>-1248.6527295642959</v>
      </c>
      <c r="AQ173">
        <f t="shared" si="130"/>
        <v>0.51754476762239932</v>
      </c>
      <c r="AR173">
        <f t="shared" si="131"/>
        <v>-71.938722699513505</v>
      </c>
      <c r="AT173">
        <f t="shared" si="156"/>
        <v>-31081.140638318248</v>
      </c>
      <c r="AU173">
        <f t="shared" si="157"/>
        <v>-55356.641561227247</v>
      </c>
      <c r="AV173">
        <f t="shared" si="145"/>
        <v>-2.0824036564378074</v>
      </c>
      <c r="AW173">
        <f t="shared" si="146"/>
        <v>-89004.625430795379</v>
      </c>
      <c r="AX173">
        <f t="shared" si="147"/>
        <v>-15289.056155840324</v>
      </c>
      <c r="AY173">
        <f t="shared" si="155"/>
        <v>-2.9714747325762585</v>
      </c>
      <c r="BA173">
        <f t="shared" si="132"/>
        <v>0.70298558693749724</v>
      </c>
      <c r="BB173">
        <f t="shared" si="148"/>
        <v>-3.0610715814720875</v>
      </c>
      <c r="BC173">
        <f t="shared" si="149"/>
        <v>0.88907107613845104</v>
      </c>
      <c r="BD173">
        <f t="shared" si="133"/>
        <v>-129.05997959190503</v>
      </c>
      <c r="BF173">
        <f t="shared" si="134"/>
        <v>-10.061562774404528</v>
      </c>
      <c r="BG173">
        <f t="shared" si="135"/>
        <v>-120.74231223876185</v>
      </c>
      <c r="BH173">
        <f t="shared" si="150"/>
        <v>59.257687761238145</v>
      </c>
      <c r="BI173">
        <f t="shared" si="151"/>
        <v>59.257687761238145</v>
      </c>
      <c r="BJ173">
        <f t="shared" si="136"/>
        <v>0</v>
      </c>
      <c r="BK173">
        <f t="shared" si="152"/>
        <v>0</v>
      </c>
      <c r="BM173">
        <f t="shared" si="153"/>
        <v>-7.0004911929324409</v>
      </c>
      <c r="BN173">
        <f t="shared" si="137"/>
        <v>-171.68233264685685</v>
      </c>
      <c r="BQ173" s="56">
        <f t="shared" si="154"/>
        <v>13.840889218813048</v>
      </c>
      <c r="BR173" s="59"/>
      <c r="BS173" s="59"/>
      <c r="BT173" s="59">
        <v>4265.7950000000001</v>
      </c>
      <c r="BU173" s="59">
        <v>3.2244999999999999</v>
      </c>
      <c r="BV173" s="59">
        <v>-243.32400000000001</v>
      </c>
      <c r="BW173" s="61"/>
      <c r="BY173" s="59"/>
      <c r="BZ173" s="59"/>
      <c r="CA173" s="59"/>
      <c r="CC173" s="59"/>
    </row>
    <row r="174" spans="1:81" x14ac:dyDescent="0.2">
      <c r="A174">
        <f t="shared" si="158"/>
        <v>70000</v>
      </c>
      <c r="B174">
        <f t="shared" si="138"/>
        <v>70</v>
      </c>
      <c r="C174">
        <f t="shared" si="107"/>
        <v>1.0009667539225229</v>
      </c>
      <c r="D174">
        <f t="shared" si="108"/>
        <v>4.3953969563891825E-2</v>
      </c>
      <c r="F174">
        <f t="shared" si="109"/>
        <v>2.9314951027003756E-2</v>
      </c>
      <c r="G174">
        <f t="shared" si="110"/>
        <v>0.10076651917329063</v>
      </c>
      <c r="H174">
        <f t="shared" si="111"/>
        <v>-3.0408261308267095</v>
      </c>
      <c r="J174">
        <f t="shared" si="112"/>
        <v>15</v>
      </c>
      <c r="M174">
        <f t="shared" si="113"/>
        <v>1.1396701988811771E-2</v>
      </c>
      <c r="N174">
        <f t="shared" si="114"/>
        <v>-1.5707963250000001</v>
      </c>
      <c r="O174">
        <f t="shared" si="115"/>
        <v>7.9797202736338093</v>
      </c>
      <c r="P174">
        <f t="shared" si="116"/>
        <v>1.4451483018286446</v>
      </c>
      <c r="Q174">
        <f t="shared" si="117"/>
        <v>8.3898799290163115</v>
      </c>
      <c r="R174">
        <f t="shared" si="118"/>
        <v>1.4513210741827378</v>
      </c>
      <c r="S174">
        <f t="shared" si="119"/>
        <v>0.99984835873532318</v>
      </c>
      <c r="T174">
        <f t="shared" si="120"/>
        <v>-1.7415228815269294E-2</v>
      </c>
      <c r="U174">
        <f t="shared" si="121"/>
        <v>0.92307439080312514</v>
      </c>
      <c r="V174">
        <f t="shared" si="122"/>
        <v>-0.39479770355961963</v>
      </c>
      <c r="X174">
        <f t="shared" si="139"/>
        <v>-10.174129386128367</v>
      </c>
      <c r="Y174">
        <f t="shared" si="123"/>
        <v>-119.3707171656193</v>
      </c>
      <c r="Z174">
        <f t="shared" si="140"/>
        <v>60.629282834380703</v>
      </c>
      <c r="AC174">
        <v>1</v>
      </c>
      <c r="AD174">
        <f t="shared" si="124"/>
        <v>7.9168134780000008</v>
      </c>
      <c r="AE174">
        <f t="shared" si="125"/>
        <v>-3.4819964247468035E-3</v>
      </c>
      <c r="AF174">
        <f t="shared" si="126"/>
        <v>8.3566364489999993E-3</v>
      </c>
      <c r="AG174">
        <f t="shared" si="141"/>
        <v>764.73543276987709</v>
      </c>
      <c r="AH174">
        <f t="shared" si="142"/>
        <v>-438.31104358024612</v>
      </c>
      <c r="AJ174">
        <f t="shared" si="127"/>
        <v>10500</v>
      </c>
      <c r="AK174">
        <f t="shared" si="128"/>
        <v>182.87839134180001</v>
      </c>
      <c r="AL174">
        <v>1</v>
      </c>
      <c r="AM174">
        <f t="shared" si="129"/>
        <v>8.3300711415516009</v>
      </c>
      <c r="AN174">
        <f t="shared" si="143"/>
        <v>170.81084604437973</v>
      </c>
      <c r="AO174">
        <f t="shared" si="144"/>
        <v>-1239.9881079565009</v>
      </c>
      <c r="AQ174">
        <f t="shared" si="130"/>
        <v>0.51017805214019696</v>
      </c>
      <c r="AR174">
        <f t="shared" si="131"/>
        <v>-71.424927299627569</v>
      </c>
      <c r="AT174">
        <f t="shared" si="156"/>
        <v>-30916.183188849845</v>
      </c>
      <c r="AU174">
        <f t="shared" si="157"/>
        <v>-54844.789363483003</v>
      </c>
      <c r="AV174">
        <f t="shared" si="145"/>
        <v>-2.0840993196513549</v>
      </c>
      <c r="AW174">
        <f t="shared" si="146"/>
        <v>-87749.807927339221</v>
      </c>
      <c r="AX174">
        <f t="shared" si="147"/>
        <v>-15022.631691114781</v>
      </c>
      <c r="AY174">
        <f t="shared" si="155"/>
        <v>-2.9720379334402569</v>
      </c>
      <c r="BA174">
        <f t="shared" si="132"/>
        <v>0.70718771196329855</v>
      </c>
      <c r="BB174">
        <f t="shared" si="148"/>
        <v>-3.0093058839069342</v>
      </c>
      <c r="BC174">
        <f t="shared" si="149"/>
        <v>0.88793861378890204</v>
      </c>
      <c r="BD174">
        <f t="shared" si="133"/>
        <v>-129.12486490506581</v>
      </c>
      <c r="BF174">
        <f t="shared" si="134"/>
        <v>-10.137304181326892</v>
      </c>
      <c r="BG174">
        <f t="shared" si="135"/>
        <v>-120.8329916818798</v>
      </c>
      <c r="BH174">
        <f t="shared" si="150"/>
        <v>59.167008318120196</v>
      </c>
      <c r="BI174">
        <f t="shared" si="151"/>
        <v>59.167008318120196</v>
      </c>
      <c r="BJ174">
        <f t="shared" si="136"/>
        <v>0</v>
      </c>
      <c r="BK174">
        <f t="shared" si="152"/>
        <v>0</v>
      </c>
      <c r="BM174">
        <f t="shared" si="153"/>
        <v>-7.1279982974199569</v>
      </c>
      <c r="BN174">
        <f t="shared" si="137"/>
        <v>-171.70812677681403</v>
      </c>
      <c r="BQ174" s="56">
        <f t="shared" si="154"/>
        <v>13.892654916378202</v>
      </c>
      <c r="BR174" s="59"/>
      <c r="BS174" s="59"/>
      <c r="BT174" s="59">
        <v>4365.1580000000004</v>
      </c>
      <c r="BU174" s="59">
        <v>3.07782</v>
      </c>
      <c r="BV174" s="59">
        <v>-242.172</v>
      </c>
      <c r="BW174" s="61"/>
      <c r="BY174" s="59"/>
      <c r="BZ174" s="59"/>
      <c r="CA174" s="59"/>
      <c r="CC174" s="59"/>
    </row>
    <row r="175" spans="1:81" x14ac:dyDescent="0.2">
      <c r="A175">
        <f t="shared" si="158"/>
        <v>70500</v>
      </c>
      <c r="B175">
        <f t="shared" si="138"/>
        <v>70.5</v>
      </c>
      <c r="C175">
        <f t="shared" si="107"/>
        <v>1.0009806072279803</v>
      </c>
      <c r="D175">
        <f t="shared" si="108"/>
        <v>4.4267517944857844E-2</v>
      </c>
      <c r="F175">
        <f t="shared" si="109"/>
        <v>2.8890527948779041E-2</v>
      </c>
      <c r="G175">
        <f t="shared" si="110"/>
        <v>0.10001443863616853</v>
      </c>
      <c r="H175">
        <f t="shared" si="111"/>
        <v>-3.0415782113638317</v>
      </c>
      <c r="J175">
        <f t="shared" si="112"/>
        <v>15</v>
      </c>
      <c r="M175">
        <f t="shared" si="113"/>
        <v>1.1315874315132257E-2</v>
      </c>
      <c r="N175">
        <f t="shared" si="114"/>
        <v>-1.5707963250000001</v>
      </c>
      <c r="O175">
        <f t="shared" si="115"/>
        <v>8.0358262740356512</v>
      </c>
      <c r="P175">
        <f t="shared" si="116"/>
        <v>1.4460301711343249</v>
      </c>
      <c r="Q175">
        <f t="shared" si="117"/>
        <v>8.4489592533958238</v>
      </c>
      <c r="R175">
        <f t="shared" si="118"/>
        <v>1.4521604602662295</v>
      </c>
      <c r="S175">
        <f t="shared" si="119"/>
        <v>0.99984618519631663</v>
      </c>
      <c r="T175">
        <f t="shared" si="120"/>
        <v>-1.7539597886537514E-2</v>
      </c>
      <c r="U175">
        <f t="shared" si="121"/>
        <v>0.92209707743824731</v>
      </c>
      <c r="V175">
        <f t="shared" si="122"/>
        <v>-0.39733098002662981</v>
      </c>
      <c r="X175">
        <f t="shared" si="139"/>
        <v>-10.249917791753283</v>
      </c>
      <c r="Y175">
        <f t="shared" si="123"/>
        <v>-119.44949441095926</v>
      </c>
      <c r="Z175">
        <f t="shared" si="140"/>
        <v>60.550505589040739</v>
      </c>
      <c r="AC175">
        <v>1</v>
      </c>
      <c r="AD175">
        <f t="shared" si="124"/>
        <v>7.9733621457000012</v>
      </c>
      <c r="AE175">
        <f t="shared" si="125"/>
        <v>-3.5319168836934292E-3</v>
      </c>
      <c r="AF175">
        <f t="shared" si="126"/>
        <v>8.4163267093499989E-3</v>
      </c>
      <c r="AG175">
        <f t="shared" si="141"/>
        <v>763.11694889565342</v>
      </c>
      <c r="AH175">
        <f t="shared" si="142"/>
        <v>-439.05919573345113</v>
      </c>
      <c r="AJ175">
        <f t="shared" si="127"/>
        <v>10500</v>
      </c>
      <c r="AK175">
        <f t="shared" si="128"/>
        <v>184.18466556567</v>
      </c>
      <c r="AL175">
        <v>1</v>
      </c>
      <c r="AM175">
        <f t="shared" si="129"/>
        <v>8.389571649705541</v>
      </c>
      <c r="AN175">
        <f t="shared" si="143"/>
        <v>168.73636224397413</v>
      </c>
      <c r="AO175">
        <f t="shared" si="144"/>
        <v>-1231.4411353908199</v>
      </c>
      <c r="AQ175">
        <f t="shared" si="130"/>
        <v>0.50296750829896386</v>
      </c>
      <c r="AR175">
        <f t="shared" si="131"/>
        <v>-70.918418670153912</v>
      </c>
      <c r="AT175">
        <f t="shared" si="156"/>
        <v>-30753.560833679185</v>
      </c>
      <c r="AU175">
        <f t="shared" si="157"/>
        <v>-54339.879785746198</v>
      </c>
      <c r="AV175">
        <f t="shared" si="145"/>
        <v>-2.0858013828077784</v>
      </c>
      <c r="AW175">
        <f t="shared" si="146"/>
        <v>-86521.090776766141</v>
      </c>
      <c r="AX175">
        <f t="shared" si="147"/>
        <v>-14763.300619846483</v>
      </c>
      <c r="AY175">
        <f t="shared" si="155"/>
        <v>-2.9725879321676203</v>
      </c>
      <c r="BA175">
        <f t="shared" si="132"/>
        <v>0.71137817491825317</v>
      </c>
      <c r="BB175">
        <f t="shared" si="148"/>
        <v>-2.9579892620030441</v>
      </c>
      <c r="BC175">
        <f t="shared" si="149"/>
        <v>0.88678654935984191</v>
      </c>
      <c r="BD175">
        <f t="shared" si="133"/>
        <v>-129.19087333465353</v>
      </c>
      <c r="BF175">
        <f t="shared" si="134"/>
        <v>-10.212541242870426</v>
      </c>
      <c r="BG175">
        <f t="shared" si="135"/>
        <v>-120.92412615322478</v>
      </c>
      <c r="BH175">
        <f t="shared" si="150"/>
        <v>59.075873846775224</v>
      </c>
      <c r="BI175">
        <f t="shared" si="151"/>
        <v>59.075873846775224</v>
      </c>
      <c r="BJ175">
        <f t="shared" si="136"/>
        <v>0</v>
      </c>
      <c r="BK175">
        <f t="shared" si="152"/>
        <v>0</v>
      </c>
      <c r="BM175">
        <f t="shared" si="153"/>
        <v>-7.2545519808673795</v>
      </c>
      <c r="BN175">
        <f t="shared" si="137"/>
        <v>-171.73325281857129</v>
      </c>
      <c r="BQ175" s="56">
        <f t="shared" si="154"/>
        <v>13.943971538282094</v>
      </c>
      <c r="BR175" s="59"/>
      <c r="BS175" s="59"/>
      <c r="BT175" s="59">
        <v>4466.8360000000002</v>
      </c>
      <c r="BU175" s="59">
        <v>2.9233199999999999</v>
      </c>
      <c r="BV175" s="59">
        <v>-240.90300000000002</v>
      </c>
      <c r="BW175" s="61"/>
      <c r="BY175" s="59"/>
      <c r="BZ175" s="59"/>
      <c r="CA175" s="59"/>
      <c r="CC175" s="59"/>
    </row>
    <row r="176" spans="1:81" x14ac:dyDescent="0.2">
      <c r="A176">
        <f t="shared" si="158"/>
        <v>71000</v>
      </c>
      <c r="B176">
        <f t="shared" si="138"/>
        <v>71</v>
      </c>
      <c r="C176">
        <f t="shared" si="107"/>
        <v>1.0009945589397016</v>
      </c>
      <c r="D176">
        <f t="shared" si="108"/>
        <v>4.4581057616267641E-2</v>
      </c>
      <c r="F176">
        <f t="shared" si="109"/>
        <v>2.8475325137022684E-2</v>
      </c>
      <c r="G176">
        <f t="shared" si="110"/>
        <v>9.9273756403519681E-2</v>
      </c>
      <c r="H176">
        <f t="shared" si="111"/>
        <v>-3.0423188935964807</v>
      </c>
      <c r="J176">
        <f t="shared" si="112"/>
        <v>15</v>
      </c>
      <c r="M176">
        <f t="shared" si="113"/>
        <v>1.1236185059391888E-2</v>
      </c>
      <c r="N176">
        <f t="shared" si="114"/>
        <v>-1.5707963250000001</v>
      </c>
      <c r="O176">
        <f t="shared" si="115"/>
        <v>8.0919384371829128</v>
      </c>
      <c r="P176">
        <f t="shared" si="116"/>
        <v>1.4468998107647713</v>
      </c>
      <c r="Q176">
        <f t="shared" si="117"/>
        <v>8.5080444479748838</v>
      </c>
      <c r="R176">
        <f t="shared" si="118"/>
        <v>1.4529881884797846</v>
      </c>
      <c r="S176">
        <f t="shared" si="119"/>
        <v>0.99984399620160846</v>
      </c>
      <c r="T176">
        <f t="shared" si="120"/>
        <v>-1.7663966415159171E-2</v>
      </c>
      <c r="U176">
        <f t="shared" si="121"/>
        <v>0.9211159388760255</v>
      </c>
      <c r="V176">
        <f t="shared" si="122"/>
        <v>-0.39985888172557421</v>
      </c>
      <c r="X176">
        <f t="shared" si="139"/>
        <v>-10.325211769961824</v>
      </c>
      <c r="Y176">
        <f t="shared" si="123"/>
        <v>-119.52867975348437</v>
      </c>
      <c r="Z176">
        <f t="shared" si="140"/>
        <v>60.471320246515631</v>
      </c>
      <c r="AC176">
        <v>1</v>
      </c>
      <c r="AD176">
        <f t="shared" si="124"/>
        <v>8.0299108134000008</v>
      </c>
      <c r="AE176">
        <f t="shared" si="125"/>
        <v>-3.5821926483976816E-3</v>
      </c>
      <c r="AF176">
        <f t="shared" si="126"/>
        <v>8.4760169697000003E-3</v>
      </c>
      <c r="AG176">
        <f t="shared" si="141"/>
        <v>761.4938548583757</v>
      </c>
      <c r="AH176">
        <f t="shared" si="142"/>
        <v>-439.8077188849266</v>
      </c>
      <c r="AJ176">
        <f t="shared" si="127"/>
        <v>10500</v>
      </c>
      <c r="AK176">
        <f t="shared" si="128"/>
        <v>185.49093978954002</v>
      </c>
      <c r="AL176">
        <v>1</v>
      </c>
      <c r="AM176">
        <f t="shared" si="129"/>
        <v>8.4490721578594812</v>
      </c>
      <c r="AN176">
        <f t="shared" si="143"/>
        <v>166.7047437656804</v>
      </c>
      <c r="AO176">
        <f t="shared" si="144"/>
        <v>-1223.0094693441692</v>
      </c>
      <c r="AQ176">
        <f t="shared" si="130"/>
        <v>0.49590875278948676</v>
      </c>
      <c r="AR176">
        <f t="shared" si="131"/>
        <v>-70.419042896107115</v>
      </c>
      <c r="AT176">
        <f t="shared" si="156"/>
        <v>-30593.207154376989</v>
      </c>
      <c r="AU176">
        <f t="shared" si="157"/>
        <v>-53841.772927733342</v>
      </c>
      <c r="AV176">
        <f t="shared" si="145"/>
        <v>-2.087509587442284</v>
      </c>
      <c r="AW176">
        <f t="shared" si="146"/>
        <v>-85317.759527370086</v>
      </c>
      <c r="AX176">
        <f t="shared" si="147"/>
        <v>-14510.822905252322</v>
      </c>
      <c r="AY176">
        <f t="shared" si="155"/>
        <v>-2.9731249909842372</v>
      </c>
      <c r="BA176">
        <f t="shared" si="132"/>
        <v>0.71555692203043131</v>
      </c>
      <c r="BB176">
        <f t="shared" si="148"/>
        <v>-2.9071162544244666</v>
      </c>
      <c r="BC176">
        <f t="shared" si="149"/>
        <v>0.88561540354195323</v>
      </c>
      <c r="BD176">
        <f t="shared" si="133"/>
        <v>-129.25797504728962</v>
      </c>
      <c r="BF176">
        <f t="shared" si="134"/>
        <v>-10.287282904254887</v>
      </c>
      <c r="BG176">
        <f t="shared" si="135"/>
        <v>-121.01570133189823</v>
      </c>
      <c r="BH176">
        <f t="shared" si="150"/>
        <v>58.984298668101772</v>
      </c>
      <c r="BI176">
        <f t="shared" si="151"/>
        <v>58.984298668101772</v>
      </c>
      <c r="BJ176">
        <f t="shared" si="136"/>
        <v>0</v>
      </c>
      <c r="BK176">
        <f t="shared" si="152"/>
        <v>0</v>
      </c>
      <c r="BM176">
        <f t="shared" si="153"/>
        <v>-7.3801666498304179</v>
      </c>
      <c r="BN176">
        <f t="shared" si="137"/>
        <v>-171.75772628460862</v>
      </c>
      <c r="BQ176" s="56">
        <f t="shared" si="154"/>
        <v>13.994844545860669</v>
      </c>
      <c r="BR176" s="59"/>
      <c r="BS176" s="59"/>
      <c r="BT176" s="59">
        <v>4570.8819999999996</v>
      </c>
      <c r="BU176" s="59">
        <v>2.7266900000000001</v>
      </c>
      <c r="BV176" s="59">
        <v>-241.25200000000001</v>
      </c>
      <c r="BW176" s="61"/>
      <c r="BY176" s="59"/>
      <c r="BZ176" s="59"/>
      <c r="CA176" s="59"/>
      <c r="CC176" s="59"/>
    </row>
    <row r="177" spans="1:81" x14ac:dyDescent="0.2">
      <c r="A177">
        <f t="shared" si="158"/>
        <v>71500</v>
      </c>
      <c r="B177">
        <f t="shared" si="138"/>
        <v>71.5</v>
      </c>
      <c r="C177">
        <f t="shared" si="107"/>
        <v>1.0010086090535717</v>
      </c>
      <c r="D177">
        <f t="shared" si="108"/>
        <v>4.4894588516840299E-2</v>
      </c>
      <c r="F177">
        <f t="shared" si="109"/>
        <v>2.8069075540283421E-2</v>
      </c>
      <c r="G177">
        <f t="shared" si="110"/>
        <v>9.8544210236388818E-2</v>
      </c>
      <c r="H177">
        <f t="shared" si="111"/>
        <v>-3.0430484397636115</v>
      </c>
      <c r="J177">
        <f t="shared" si="112"/>
        <v>15</v>
      </c>
      <c r="M177">
        <f t="shared" si="113"/>
        <v>1.115761033869684E-2</v>
      </c>
      <c r="N177">
        <f t="shared" si="114"/>
        <v>-1.5707963250000001</v>
      </c>
      <c r="O177">
        <f t="shared" si="115"/>
        <v>8.1480566357550597</v>
      </c>
      <c r="P177">
        <f t="shared" si="116"/>
        <v>1.4477574720795592</v>
      </c>
      <c r="Q177">
        <f t="shared" si="117"/>
        <v>8.5671353912979988</v>
      </c>
      <c r="R177">
        <f t="shared" si="118"/>
        <v>1.4538044989042047</v>
      </c>
      <c r="S177">
        <f t="shared" si="119"/>
        <v>0.99984179175150267</v>
      </c>
      <c r="T177">
        <f t="shared" si="120"/>
        <v>-1.7788334397290502E-2</v>
      </c>
      <c r="U177">
        <f t="shared" si="121"/>
        <v>0.92013102487184584</v>
      </c>
      <c r="V177">
        <f t="shared" si="122"/>
        <v>-0.40238139353846747</v>
      </c>
      <c r="X177">
        <f t="shared" si="139"/>
        <v>-10.400019985824422</v>
      </c>
      <c r="Y177">
        <f t="shared" si="123"/>
        <v>-119.60825919801462</v>
      </c>
      <c r="Z177">
        <f t="shared" si="140"/>
        <v>60.391740801985378</v>
      </c>
      <c r="AC177">
        <v>1</v>
      </c>
      <c r="AD177">
        <f t="shared" si="124"/>
        <v>8.0864594811000003</v>
      </c>
      <c r="AE177">
        <f t="shared" si="125"/>
        <v>-3.6328237188595612E-3</v>
      </c>
      <c r="AF177">
        <f t="shared" si="126"/>
        <v>8.5357072300499999E-3</v>
      </c>
      <c r="AG177">
        <f t="shared" si="141"/>
        <v>759.86625304674556</v>
      </c>
      <c r="AH177">
        <f t="shared" si="142"/>
        <v>-440.55636467830567</v>
      </c>
      <c r="AJ177">
        <f t="shared" si="127"/>
        <v>10500</v>
      </c>
      <c r="AK177">
        <f t="shared" si="128"/>
        <v>186.79721401341001</v>
      </c>
      <c r="AL177">
        <v>1</v>
      </c>
      <c r="AM177">
        <f t="shared" si="129"/>
        <v>8.5085726660134213</v>
      </c>
      <c r="AN177">
        <f t="shared" si="143"/>
        <v>164.7148231593375</v>
      </c>
      <c r="AO177">
        <f t="shared" si="144"/>
        <v>-1214.6908280073635</v>
      </c>
      <c r="AQ177">
        <f t="shared" si="130"/>
        <v>0.48899755501222492</v>
      </c>
      <c r="AR177">
        <f t="shared" si="131"/>
        <v>-69.926650366748163</v>
      </c>
      <c r="AT177">
        <f t="shared" si="156"/>
        <v>-30435.058139829322</v>
      </c>
      <c r="AU177">
        <f t="shared" si="157"/>
        <v>-53350.332787463529</v>
      </c>
      <c r="AV177">
        <f t="shared" si="145"/>
        <v>-2.0892236820433681</v>
      </c>
      <c r="AW177">
        <f t="shared" si="146"/>
        <v>-84139.12388171129</v>
      </c>
      <c r="AX177">
        <f t="shared" si="147"/>
        <v>-14264.968252854747</v>
      </c>
      <c r="AY177">
        <f t="shared" si="155"/>
        <v>-2.9736493649923625</v>
      </c>
      <c r="BA177">
        <f t="shared" si="132"/>
        <v>0.71972390111623308</v>
      </c>
      <c r="BB177">
        <f t="shared" si="148"/>
        <v>-2.856681494102463</v>
      </c>
      <c r="BC177">
        <f t="shared" si="149"/>
        <v>0.88442568294899448</v>
      </c>
      <c r="BD177">
        <f t="shared" si="133"/>
        <v>-129.32614101614382</v>
      </c>
      <c r="BF177">
        <f t="shared" si="134"/>
        <v>-10.361537874971351</v>
      </c>
      <c r="BG177">
        <f t="shared" si="135"/>
        <v>-121.10770321976649</v>
      </c>
      <c r="BH177">
        <f t="shared" si="150"/>
        <v>58.892296780233508</v>
      </c>
      <c r="BI177">
        <f t="shared" si="151"/>
        <v>58.892296780233508</v>
      </c>
      <c r="BJ177">
        <f t="shared" si="136"/>
        <v>0</v>
      </c>
      <c r="BK177">
        <f t="shared" si="152"/>
        <v>0</v>
      </c>
      <c r="BM177">
        <f t="shared" si="153"/>
        <v>-7.5048563808688886</v>
      </c>
      <c r="BN177">
        <f t="shared" si="137"/>
        <v>-171.78156220362268</v>
      </c>
      <c r="BQ177" s="56">
        <f t="shared" si="154"/>
        <v>14.045279306182671</v>
      </c>
      <c r="BR177" s="59"/>
      <c r="BS177" s="59"/>
      <c r="BT177" s="59">
        <v>4677.3509999999997</v>
      </c>
      <c r="BU177" s="59">
        <v>2.54392</v>
      </c>
      <c r="BV177" s="59">
        <v>-240.63800000000001</v>
      </c>
      <c r="BW177" s="61"/>
      <c r="BY177" s="59"/>
      <c r="BZ177" s="59"/>
      <c r="CA177" s="59"/>
      <c r="CC177" s="59"/>
    </row>
    <row r="178" spans="1:81" x14ac:dyDescent="0.2">
      <c r="A178">
        <f t="shared" si="158"/>
        <v>72000</v>
      </c>
      <c r="B178">
        <f t="shared" si="138"/>
        <v>72</v>
      </c>
      <c r="C178">
        <f t="shared" si="107"/>
        <v>1.0010227575654476</v>
      </c>
      <c r="D178">
        <f t="shared" si="108"/>
        <v>4.5208110585305238E-2</v>
      </c>
      <c r="F178">
        <f t="shared" si="109"/>
        <v>2.7671521770406843E-2</v>
      </c>
      <c r="G178">
        <f t="shared" si="110"/>
        <v>9.78255460085099E-2</v>
      </c>
      <c r="H178">
        <f t="shared" si="111"/>
        <v>-3.0437671039914904</v>
      </c>
      <c r="J178">
        <f t="shared" si="112"/>
        <v>15</v>
      </c>
      <c r="M178">
        <f t="shared" si="113"/>
        <v>1.1080126933566999E-2</v>
      </c>
      <c r="N178">
        <f t="shared" si="114"/>
        <v>-1.5707963250000001</v>
      </c>
      <c r="O178">
        <f t="shared" si="115"/>
        <v>8.20418074590164</v>
      </c>
      <c r="P178">
        <f t="shared" si="116"/>
        <v>1.4486033996317478</v>
      </c>
      <c r="Q178">
        <f t="shared" si="117"/>
        <v>8.6262319652259709</v>
      </c>
      <c r="R178">
        <f t="shared" si="118"/>
        <v>1.4546096251031426</v>
      </c>
      <c r="S178">
        <f t="shared" si="119"/>
        <v>0.99983957184630667</v>
      </c>
      <c r="T178">
        <f t="shared" si="120"/>
        <v>-1.7912701829087833E-2</v>
      </c>
      <c r="U178">
        <f t="shared" si="121"/>
        <v>0.91914238506520463</v>
      </c>
      <c r="V178">
        <f t="shared" si="122"/>
        <v>-0.40489850068608857</v>
      </c>
      <c r="X178">
        <f t="shared" si="139"/>
        <v>-10.474350876883832</v>
      </c>
      <c r="Y178">
        <f t="shared" si="123"/>
        <v>-119.68821906734627</v>
      </c>
      <c r="Z178">
        <f t="shared" si="140"/>
        <v>60.311780932653733</v>
      </c>
      <c r="AC178">
        <v>1</v>
      </c>
      <c r="AD178">
        <f t="shared" si="124"/>
        <v>8.1430081488000017</v>
      </c>
      <c r="AE178">
        <f t="shared" si="125"/>
        <v>-3.6838100950790679E-3</v>
      </c>
      <c r="AF178">
        <f t="shared" si="126"/>
        <v>8.5953974903999995E-3</v>
      </c>
      <c r="AG178">
        <f t="shared" si="141"/>
        <v>758.2342453838404</v>
      </c>
      <c r="AH178">
        <f t="shared" si="142"/>
        <v>-441.30489274244468</v>
      </c>
      <c r="AJ178">
        <f t="shared" si="127"/>
        <v>10500</v>
      </c>
      <c r="AK178">
        <f t="shared" si="128"/>
        <v>188.10348823728003</v>
      </c>
      <c r="AL178">
        <v>1</v>
      </c>
      <c r="AM178">
        <f t="shared" si="129"/>
        <v>8.5680731741673615</v>
      </c>
      <c r="AN178">
        <f t="shared" si="143"/>
        <v>162.76547226638212</v>
      </c>
      <c r="AO178">
        <f t="shared" si="144"/>
        <v>-1206.4829883689902</v>
      </c>
      <c r="AQ178">
        <f t="shared" si="130"/>
        <v>0.48222983073732939</v>
      </c>
      <c r="AR178">
        <f t="shared" si="131"/>
        <v>-69.441095626175439</v>
      </c>
      <c r="AT178">
        <f t="shared" si="156"/>
        <v>-30279.052085416497</v>
      </c>
      <c r="AU178">
        <f t="shared" si="157"/>
        <v>-52865.427124470974</v>
      </c>
      <c r="AV178">
        <f t="shared" si="145"/>
        <v>-2.0909434218291185</v>
      </c>
      <c r="AW178">
        <f t="shared" si="146"/>
        <v>-82984.516728263494</v>
      </c>
      <c r="AX178">
        <f t="shared" si="147"/>
        <v>-14025.515651437072</v>
      </c>
      <c r="AY178">
        <f t="shared" si="155"/>
        <v>-2.9741613024127904</v>
      </c>
      <c r="BA178">
        <f t="shared" si="132"/>
        <v>0.72387906155149384</v>
      </c>
      <c r="BB178">
        <f t="shared" si="148"/>
        <v>-2.8066797061148359</v>
      </c>
      <c r="BC178">
        <f t="shared" si="149"/>
        <v>0.8832178805836719</v>
      </c>
      <c r="BD178">
        <f t="shared" si="133"/>
        <v>-129.39534299424182</v>
      </c>
      <c r="BF178">
        <f t="shared" si="134"/>
        <v>-10.43531463680138</v>
      </c>
      <c r="BG178">
        <f t="shared" si="135"/>
        <v>-121.20011813372825</v>
      </c>
      <c r="BH178">
        <f t="shared" si="150"/>
        <v>58.799881866271747</v>
      </c>
      <c r="BI178">
        <f t="shared" si="151"/>
        <v>58.799881866271747</v>
      </c>
      <c r="BJ178">
        <f t="shared" si="136"/>
        <v>0</v>
      </c>
      <c r="BK178">
        <f t="shared" si="152"/>
        <v>0</v>
      </c>
      <c r="BM178">
        <f t="shared" si="153"/>
        <v>-7.6286349306865446</v>
      </c>
      <c r="BN178">
        <f t="shared" si="137"/>
        <v>-171.80477513948642</v>
      </c>
      <c r="BQ178" s="56">
        <f t="shared" si="154"/>
        <v>14.0952810941703</v>
      </c>
      <c r="BR178" s="59"/>
      <c r="BS178" s="59"/>
      <c r="BT178" s="59">
        <v>4786.3010000000004</v>
      </c>
      <c r="BU178" s="59">
        <v>2.5307499999999998</v>
      </c>
      <c r="BV178" s="59">
        <v>-240.03100000000001</v>
      </c>
      <c r="BW178" s="61"/>
      <c r="BY178" s="59"/>
      <c r="BZ178" s="59"/>
      <c r="CA178" s="59"/>
      <c r="CC178" s="59"/>
    </row>
    <row r="179" spans="1:81" x14ac:dyDescent="0.2">
      <c r="A179">
        <f t="shared" si="158"/>
        <v>72500</v>
      </c>
      <c r="B179">
        <f t="shared" si="138"/>
        <v>72.5</v>
      </c>
      <c r="C179">
        <f t="shared" si="107"/>
        <v>1.0010370044711567</v>
      </c>
      <c r="D179">
        <f t="shared" si="108"/>
        <v>4.5521623760402301E-2</v>
      </c>
      <c r="F179">
        <f t="shared" si="109"/>
        <v>2.7282415683365438E-2</v>
      </c>
      <c r="G179">
        <f t="shared" si="110"/>
        <v>9.7117517390984287E-2</v>
      </c>
      <c r="H179">
        <f t="shared" si="111"/>
        <v>-3.044475132609016</v>
      </c>
      <c r="J179">
        <f t="shared" si="112"/>
        <v>15</v>
      </c>
      <c r="M179">
        <f t="shared" si="113"/>
        <v>1.1003712265059643E-2</v>
      </c>
      <c r="N179">
        <f t="shared" si="114"/>
        <v>-1.5707963250000001</v>
      </c>
      <c r="O179">
        <f t="shared" si="115"/>
        <v>8.2603106471253014</v>
      </c>
      <c r="P179">
        <f t="shared" si="116"/>
        <v>1.4494378313955445</v>
      </c>
      <c r="Q179">
        <f t="shared" si="117"/>
        <v>8.685334054823862</v>
      </c>
      <c r="R179">
        <f t="shared" si="118"/>
        <v>1.4554037943417348</v>
      </c>
      <c r="S179">
        <f t="shared" si="119"/>
        <v>0.99983733648632922</v>
      </c>
      <c r="T179">
        <f t="shared" si="120"/>
        <v>-1.8037068706707599E-2</v>
      </c>
      <c r="U179">
        <f t="shared" si="121"/>
        <v>0.91815006897488449</v>
      </c>
      <c r="V179">
        <f t="shared" si="122"/>
        <v>-0.40741018872642021</v>
      </c>
      <c r="X179">
        <f t="shared" si="139"/>
        <v>-10.548212660843069</v>
      </c>
      <c r="Y179">
        <f t="shared" si="123"/>
        <v>-119.76854599465757</v>
      </c>
      <c r="Z179">
        <f t="shared" si="140"/>
        <v>60.231454005342428</v>
      </c>
      <c r="AC179">
        <v>1</v>
      </c>
      <c r="AD179">
        <f t="shared" si="124"/>
        <v>8.1995568164999995</v>
      </c>
      <c r="AE179">
        <f t="shared" si="125"/>
        <v>-3.7351517770562019E-3</v>
      </c>
      <c r="AF179">
        <f t="shared" si="126"/>
        <v>8.6550877507499992E-3</v>
      </c>
      <c r="AG179">
        <f t="shared" si="141"/>
        <v>756.59793331684648</v>
      </c>
      <c r="AH179">
        <f t="shared" si="142"/>
        <v>-442.05307043986119</v>
      </c>
      <c r="AJ179">
        <f t="shared" si="127"/>
        <v>10500</v>
      </c>
      <c r="AK179">
        <f t="shared" si="128"/>
        <v>189.40976246115002</v>
      </c>
      <c r="AL179">
        <v>1</v>
      </c>
      <c r="AM179">
        <f t="shared" si="129"/>
        <v>8.6275736823213016</v>
      </c>
      <c r="AN179">
        <f t="shared" si="143"/>
        <v>160.85560065103888</v>
      </c>
      <c r="AO179">
        <f t="shared" si="144"/>
        <v>-1198.3837843697384</v>
      </c>
      <c r="AQ179">
        <f t="shared" si="130"/>
        <v>0.47560163606962808</v>
      </c>
      <c r="AR179">
        <f t="shared" si="131"/>
        <v>-68.962237230096065</v>
      </c>
      <c r="AT179">
        <f t="shared" si="156"/>
        <v>-30125.129497033682</v>
      </c>
      <c r="AU179">
        <f t="shared" si="157"/>
        <v>-52386.927328727572</v>
      </c>
      <c r="AV179">
        <f t="shared" si="145"/>
        <v>-2.0926685685323205</v>
      </c>
      <c r="AW179">
        <f t="shared" si="146"/>
        <v>-81853.293217813189</v>
      </c>
      <c r="AX179">
        <f t="shared" si="147"/>
        <v>-13792.252938551601</v>
      </c>
      <c r="AY179">
        <f t="shared" si="155"/>
        <v>-2.9746610448172812</v>
      </c>
      <c r="BA179">
        <f t="shared" si="132"/>
        <v>0.72802235424348682</v>
      </c>
      <c r="BB179">
        <f t="shared" si="148"/>
        <v>-2.7571057056199502</v>
      </c>
      <c r="BC179">
        <f t="shared" si="149"/>
        <v>0.88199247628496069</v>
      </c>
      <c r="BD179">
        <f t="shared" si="133"/>
        <v>-129.46555348883538</v>
      </c>
      <c r="BF179">
        <f t="shared" si="134"/>
        <v>-10.508621451500364</v>
      </c>
      <c r="BG179">
        <f t="shared" si="135"/>
        <v>-121.29293269815152</v>
      </c>
      <c r="BH179">
        <f t="shared" si="150"/>
        <v>58.707067301848483</v>
      </c>
      <c r="BI179">
        <f t="shared" si="151"/>
        <v>58.707067301848483</v>
      </c>
      <c r="BJ179">
        <f t="shared" si="136"/>
        <v>0</v>
      </c>
      <c r="BK179">
        <f t="shared" si="152"/>
        <v>0</v>
      </c>
      <c r="BM179">
        <f t="shared" si="153"/>
        <v>-7.7515157458804165</v>
      </c>
      <c r="BN179">
        <f t="shared" si="137"/>
        <v>-171.82737920931615</v>
      </c>
      <c r="BQ179" s="56">
        <f t="shared" si="154"/>
        <v>14.144855094665186</v>
      </c>
      <c r="BR179" s="59"/>
      <c r="BS179" s="59"/>
      <c r="BT179" s="59">
        <v>4897.7879999999996</v>
      </c>
      <c r="BU179" s="59">
        <v>2.1795599999999999</v>
      </c>
      <c r="BV179" s="59">
        <v>-239.48099999999999</v>
      </c>
      <c r="BW179" s="61"/>
      <c r="BY179" s="59"/>
      <c r="BZ179" s="59"/>
      <c r="CA179" s="59"/>
      <c r="CC179" s="59"/>
    </row>
    <row r="180" spans="1:81" x14ac:dyDescent="0.2">
      <c r="A180">
        <f t="shared" si="158"/>
        <v>73000</v>
      </c>
      <c r="B180">
        <f t="shared" si="138"/>
        <v>73</v>
      </c>
      <c r="C180">
        <f t="shared" si="107"/>
        <v>1.0010513497664983</v>
      </c>
      <c r="D180">
        <f t="shared" si="108"/>
        <v>4.5835127980881768E-2</v>
      </c>
      <c r="F180">
        <f t="shared" si="109"/>
        <v>2.6901517981268708E-2</v>
      </c>
      <c r="G180">
        <f t="shared" si="110"/>
        <v>9.6419885551696644E-2</v>
      </c>
      <c r="H180">
        <f t="shared" si="111"/>
        <v>-3.0451727644483038</v>
      </c>
      <c r="J180">
        <f t="shared" si="112"/>
        <v>15</v>
      </c>
      <c r="M180">
        <f t="shared" si="113"/>
        <v>1.0928344372833207E-2</v>
      </c>
      <c r="N180">
        <f t="shared" si="114"/>
        <v>-1.5707963250000001</v>
      </c>
      <c r="O180">
        <f t="shared" si="115"/>
        <v>8.3164462221694979</v>
      </c>
      <c r="P180">
        <f t="shared" si="116"/>
        <v>1.4502609989849355</v>
      </c>
      <c r="Q180">
        <f t="shared" si="117"/>
        <v>8.744441548253441</v>
      </c>
      <c r="R180">
        <f t="shared" si="118"/>
        <v>1.4561872277965302</v>
      </c>
      <c r="S180">
        <f t="shared" si="119"/>
        <v>0.99983508567188117</v>
      </c>
      <c r="T180">
        <f t="shared" si="120"/>
        <v>-1.8161435026306336E-2</v>
      </c>
      <c r="U180">
        <f t="shared" si="121"/>
        <v>0.91715412599421031</v>
      </c>
      <c r="V180">
        <f t="shared" si="122"/>
        <v>-0.40991644355305368</v>
      </c>
      <c r="X180">
        <f t="shared" si="139"/>
        <v>-10.621613342934156</v>
      </c>
      <c r="Y180">
        <f t="shared" si="123"/>
        <v>-119.84922691608568</v>
      </c>
      <c r="Z180">
        <f t="shared" si="140"/>
        <v>60.150773083914316</v>
      </c>
      <c r="AC180">
        <v>1</v>
      </c>
      <c r="AD180">
        <f t="shared" si="124"/>
        <v>8.2561054842000008</v>
      </c>
      <c r="AE180">
        <f t="shared" si="125"/>
        <v>-3.7868487647909634E-3</v>
      </c>
      <c r="AF180">
        <f t="shared" si="126"/>
        <v>8.7147780110999988E-3</v>
      </c>
      <c r="AG180">
        <f t="shared" si="141"/>
        <v>754.95741780703077</v>
      </c>
      <c r="AH180">
        <f t="shared" si="142"/>
        <v>-442.80067262496448</v>
      </c>
      <c r="AJ180">
        <f t="shared" si="127"/>
        <v>10500</v>
      </c>
      <c r="AK180">
        <f t="shared" si="128"/>
        <v>190.71603668502001</v>
      </c>
      <c r="AL180">
        <v>1</v>
      </c>
      <c r="AM180">
        <f t="shared" si="129"/>
        <v>8.68707419047524</v>
      </c>
      <c r="AN180">
        <f t="shared" si="143"/>
        <v>158.98415410375617</v>
      </c>
      <c r="AO180">
        <f t="shared" si="144"/>
        <v>-1190.3911051242585</v>
      </c>
      <c r="AQ180">
        <f t="shared" si="130"/>
        <v>0.46910916170192801</v>
      </c>
      <c r="AR180">
        <f t="shared" si="131"/>
        <v>-68.489937608481497</v>
      </c>
      <c r="AT180">
        <f t="shared" si="156"/>
        <v>-29973.23299968935</v>
      </c>
      <c r="AU180">
        <f t="shared" si="157"/>
        <v>-51914.708294999982</v>
      </c>
      <c r="AV180">
        <f t="shared" si="145"/>
        <v>-2.0943988901939763</v>
      </c>
      <c r="AW180">
        <f t="shared" si="146"/>
        <v>-80744.829882276215</v>
      </c>
      <c r="AX180">
        <f t="shared" si="147"/>
        <v>-13564.976389114425</v>
      </c>
      <c r="AY180">
        <f t="shared" si="155"/>
        <v>-2.9751488273516955</v>
      </c>
      <c r="BA180">
        <f t="shared" si="132"/>
        <v>0.73215373160377217</v>
      </c>
      <c r="BB180">
        <f t="shared" si="148"/>
        <v>-2.7079543958441303</v>
      </c>
      <c r="BC180">
        <f t="shared" si="149"/>
        <v>0.88074993715771921</v>
      </c>
      <c r="BD180">
        <f t="shared" si="133"/>
        <v>-129.53674573678754</v>
      </c>
      <c r="BF180">
        <f t="shared" si="134"/>
        <v>-10.581466368161866</v>
      </c>
      <c r="BG180">
        <f t="shared" si="135"/>
        <v>-121.38613383748095</v>
      </c>
      <c r="BH180">
        <f t="shared" si="150"/>
        <v>58.613866162519045</v>
      </c>
      <c r="BI180">
        <f t="shared" si="151"/>
        <v>58.613866162519045</v>
      </c>
      <c r="BJ180">
        <f t="shared" si="136"/>
        <v>0</v>
      </c>
      <c r="BK180">
        <f t="shared" si="152"/>
        <v>0</v>
      </c>
      <c r="BM180">
        <f t="shared" si="153"/>
        <v>-7.8735119723177363</v>
      </c>
      <c r="BN180">
        <f t="shared" si="137"/>
        <v>-171.84938810069343</v>
      </c>
      <c r="BQ180" s="56">
        <f t="shared" si="154"/>
        <v>14.194006404441007</v>
      </c>
      <c r="BR180" s="59"/>
      <c r="BS180" s="59"/>
      <c r="BT180" s="59">
        <v>5011.8720000000003</v>
      </c>
      <c r="BU180" s="59">
        <v>2.08934</v>
      </c>
      <c r="BV180" s="59">
        <v>-238.50700000000001</v>
      </c>
      <c r="BW180" s="61"/>
      <c r="BY180" s="59"/>
      <c r="BZ180" s="59"/>
      <c r="CA180" s="59"/>
      <c r="CC180" s="59"/>
    </row>
    <row r="181" spans="1:81" x14ac:dyDescent="0.2">
      <c r="A181">
        <f t="shared" si="158"/>
        <v>73500</v>
      </c>
      <c r="B181">
        <f t="shared" si="138"/>
        <v>73.5</v>
      </c>
      <c r="C181">
        <f t="shared" si="107"/>
        <v>1.0010657934472427</v>
      </c>
      <c r="D181">
        <f t="shared" si="108"/>
        <v>4.6148623185504466E-2</v>
      </c>
      <c r="F181">
        <f t="shared" si="109"/>
        <v>2.6528597834333145E-2</v>
      </c>
      <c r="G181">
        <f t="shared" si="110"/>
        <v>9.5732418868665708E-2</v>
      </c>
      <c r="H181">
        <f t="shared" si="111"/>
        <v>-3.0458602311313343</v>
      </c>
      <c r="J181">
        <f t="shared" si="112"/>
        <v>15</v>
      </c>
      <c r="M181">
        <f t="shared" si="113"/>
        <v>1.0854001894106449E-2</v>
      </c>
      <c r="N181">
        <f t="shared" si="114"/>
        <v>-1.5707963250000001</v>
      </c>
      <c r="O181">
        <f t="shared" si="115"/>
        <v>8.3725873569106639</v>
      </c>
      <c r="P181">
        <f t="shared" si="116"/>
        <v>1.4510731278637041</v>
      </c>
      <c r="Q181">
        <f t="shared" si="117"/>
        <v>8.8035543366699418</v>
      </c>
      <c r="R181">
        <f t="shared" si="118"/>
        <v>1.4569601407571182</v>
      </c>
      <c r="S181">
        <f t="shared" si="119"/>
        <v>0.99983281940327617</v>
      </c>
      <c r="T181">
        <f t="shared" si="120"/>
        <v>-1.8285800784040677E-2</v>
      </c>
      <c r="U181">
        <f t="shared" si="121"/>
        <v>0.91615460538638416</v>
      </c>
      <c r="V181">
        <f t="shared" si="122"/>
        <v>-0.41241725139356122</v>
      </c>
      <c r="X181">
        <f t="shared" si="139"/>
        <v>-10.69456072298329</v>
      </c>
      <c r="Y181">
        <f t="shared" si="123"/>
        <v>-119.93024906347094</v>
      </c>
      <c r="Z181">
        <f t="shared" si="140"/>
        <v>60.069750936529061</v>
      </c>
      <c r="AC181">
        <v>1</v>
      </c>
      <c r="AD181">
        <f t="shared" si="124"/>
        <v>8.3126541519000003</v>
      </c>
      <c r="AE181">
        <f t="shared" si="125"/>
        <v>-3.8389010582833513E-3</v>
      </c>
      <c r="AF181">
        <f t="shared" si="126"/>
        <v>8.7744682714500002E-3</v>
      </c>
      <c r="AG181">
        <f t="shared" si="141"/>
        <v>753.31279931994663</v>
      </c>
      <c r="AH181">
        <f t="shared" si="142"/>
        <v>-443.54748141161065</v>
      </c>
      <c r="AJ181">
        <f t="shared" si="127"/>
        <v>10500</v>
      </c>
      <c r="AK181">
        <f t="shared" si="128"/>
        <v>192.02231090889003</v>
      </c>
      <c r="AL181">
        <v>1</v>
      </c>
      <c r="AM181">
        <f t="shared" si="129"/>
        <v>8.7465746986291801</v>
      </c>
      <c r="AN181">
        <f t="shared" si="143"/>
        <v>157.15011321312821</v>
      </c>
      <c r="AO181">
        <f t="shared" si="144"/>
        <v>-1182.5028932077685</v>
      </c>
      <c r="AQ181">
        <f t="shared" si="130"/>
        <v>0.46274872744099954</v>
      </c>
      <c r="AR181">
        <f t="shared" si="131"/>
        <v>-68.024062933826926</v>
      </c>
      <c r="AT181">
        <f t="shared" si="156"/>
        <v>-29823.307250433507</v>
      </c>
      <c r="AU181">
        <f t="shared" si="157"/>
        <v>-51448.648302380265</v>
      </c>
      <c r="AV181">
        <f t="shared" si="145"/>
        <v>-2.0961341609648416</v>
      </c>
      <c r="AW181">
        <f t="shared" si="146"/>
        <v>-79658.523793731118</v>
      </c>
      <c r="AX181">
        <f t="shared" si="147"/>
        <v>-13343.49032571719</v>
      </c>
      <c r="AY181">
        <f t="shared" si="155"/>
        <v>-2.9756248789502573</v>
      </c>
      <c r="BA181">
        <f t="shared" si="132"/>
        <v>0.7362731475218538</v>
      </c>
      <c r="BB181">
        <f t="shared" si="148"/>
        <v>-2.659220766121023</v>
      </c>
      <c r="BC181">
        <f t="shared" si="149"/>
        <v>0.87949071798541567</v>
      </c>
      <c r="BD181">
        <f t="shared" si="133"/>
        <v>-129.60889368092492</v>
      </c>
      <c r="BF181">
        <f t="shared" si="134"/>
        <v>-10.653857230278472</v>
      </c>
      <c r="BG181">
        <f t="shared" si="135"/>
        <v>-121.47970876901385</v>
      </c>
      <c r="BH181">
        <f t="shared" si="150"/>
        <v>58.520291230986146</v>
      </c>
      <c r="BI181">
        <f t="shared" si="151"/>
        <v>58.520291230986146</v>
      </c>
      <c r="BJ181">
        <f t="shared" si="136"/>
        <v>0</v>
      </c>
      <c r="BK181">
        <f t="shared" si="152"/>
        <v>0</v>
      </c>
      <c r="BM181">
        <f t="shared" si="153"/>
        <v>-7.9946364641574483</v>
      </c>
      <c r="BN181">
        <f t="shared" si="137"/>
        <v>-171.87081508808893</v>
      </c>
      <c r="BQ181" s="56">
        <f t="shared" si="154"/>
        <v>14.242740034164111</v>
      </c>
      <c r="BR181" s="59"/>
      <c r="BS181" s="59"/>
      <c r="BT181" s="59">
        <v>5128.6139999999996</v>
      </c>
      <c r="BU181" s="59">
        <v>1.7954699999999999</v>
      </c>
      <c r="BV181" s="59">
        <v>-237.881</v>
      </c>
      <c r="BW181" s="61"/>
      <c r="BY181" s="59"/>
      <c r="BZ181" s="59"/>
      <c r="CA181" s="59"/>
      <c r="CC181" s="59"/>
    </row>
    <row r="182" spans="1:81" x14ac:dyDescent="0.2">
      <c r="A182">
        <f t="shared" si="158"/>
        <v>74000</v>
      </c>
      <c r="B182">
        <f t="shared" si="138"/>
        <v>74</v>
      </c>
      <c r="C182">
        <f t="shared" si="107"/>
        <v>1.0010803355091309</v>
      </c>
      <c r="D182">
        <f t="shared" si="108"/>
        <v>4.6462109313041858E-2</v>
      </c>
      <c r="F182">
        <f t="shared" si="109"/>
        <v>2.6163432521670037E-2</v>
      </c>
      <c r="G182">
        <f t="shared" si="110"/>
        <v>9.5054892656576268E-2</v>
      </c>
      <c r="H182">
        <f t="shared" si="111"/>
        <v>-3.0465377573434238</v>
      </c>
      <c r="J182">
        <f t="shared" si="112"/>
        <v>15</v>
      </c>
      <c r="M182">
        <f t="shared" si="113"/>
        <v>1.0780664043470594E-2</v>
      </c>
      <c r="N182">
        <f t="shared" si="114"/>
        <v>-1.5707963250000001</v>
      </c>
      <c r="O182">
        <f t="shared" si="115"/>
        <v>8.4287339402546451</v>
      </c>
      <c r="P182">
        <f t="shared" si="116"/>
        <v>1.4518744375472195</v>
      </c>
      <c r="Q182">
        <f t="shared" si="117"/>
        <v>8.8626723141228894</v>
      </c>
      <c r="R182">
        <f t="shared" si="118"/>
        <v>1.4577227428198332</v>
      </c>
      <c r="S182">
        <f t="shared" si="119"/>
        <v>0.99983053768082941</v>
      </c>
      <c r="T182">
        <f t="shared" si="120"/>
        <v>-1.8410165976067375E-2</v>
      </c>
      <c r="U182">
        <f t="shared" si="121"/>
        <v>0.91515155627989853</v>
      </c>
      <c r="V182">
        <f t="shared" si="122"/>
        <v>-0.41491259880783643</v>
      </c>
      <c r="X182">
        <f t="shared" si="139"/>
        <v>-10.767062402187488</v>
      </c>
      <c r="Y182">
        <f t="shared" si="123"/>
        <v>-120.01159995727069</v>
      </c>
      <c r="Z182">
        <f t="shared" si="140"/>
        <v>59.98840004272931</v>
      </c>
      <c r="AC182">
        <v>1</v>
      </c>
      <c r="AD182">
        <f t="shared" si="124"/>
        <v>8.3692028196000017</v>
      </c>
      <c r="AE182">
        <f t="shared" si="125"/>
        <v>-3.8913086575333667E-3</v>
      </c>
      <c r="AF182">
        <f t="shared" si="126"/>
        <v>8.8341585317999998E-3</v>
      </c>
      <c r="AG182">
        <f t="shared" si="141"/>
        <v>751.66417781587995</v>
      </c>
      <c r="AH182">
        <f t="shared" si="142"/>
        <v>-444.29328594954541</v>
      </c>
      <c r="AJ182">
        <f t="shared" si="127"/>
        <v>10500</v>
      </c>
      <c r="AK182">
        <f t="shared" si="128"/>
        <v>193.32858513276003</v>
      </c>
      <c r="AL182">
        <v>1</v>
      </c>
      <c r="AM182">
        <f t="shared" si="129"/>
        <v>8.8060752067831203</v>
      </c>
      <c r="AN182">
        <f t="shared" si="143"/>
        <v>155.35249200276374</v>
      </c>
      <c r="AO182">
        <f t="shared" si="144"/>
        <v>-1174.7171430047506</v>
      </c>
      <c r="AQ182">
        <f t="shared" si="130"/>
        <v>0.45651677699155446</v>
      </c>
      <c r="AR182">
        <f t="shared" si="131"/>
        <v>-67.564482994750051</v>
      </c>
      <c r="AT182">
        <f t="shared" si="156"/>
        <v>-29675.298855383171</v>
      </c>
      <c r="AU182">
        <f t="shared" si="157"/>
        <v>-50988.628898744471</v>
      </c>
      <c r="AV182">
        <f t="shared" si="145"/>
        <v>-2.0978741609146248</v>
      </c>
      <c r="AW182">
        <f t="shared" si="146"/>
        <v>-78593.791761597444</v>
      </c>
      <c r="AX182">
        <f t="shared" si="147"/>
        <v>-13127.606749375947</v>
      </c>
      <c r="AY182">
        <f t="shared" si="155"/>
        <v>-2.9760894225413619</v>
      </c>
      <c r="BA182">
        <f t="shared" si="132"/>
        <v>0.74038055733960018</v>
      </c>
      <c r="BB182">
        <f t="shared" si="148"/>
        <v>-2.6108998899816256</v>
      </c>
      <c r="BC182">
        <f t="shared" si="149"/>
        <v>0.87821526162673713</v>
      </c>
      <c r="BD182">
        <f t="shared" si="133"/>
        <v>-129.68197194731383</v>
      </c>
      <c r="BF182">
        <f t="shared" si="134"/>
        <v>-10.725801682514163</v>
      </c>
      <c r="BG182">
        <f t="shared" si="135"/>
        <v>-121.57364499584503</v>
      </c>
      <c r="BH182">
        <f t="shared" si="150"/>
        <v>58.426355004154971</v>
      </c>
      <c r="BI182">
        <f t="shared" si="151"/>
        <v>58.426355004154971</v>
      </c>
      <c r="BJ182">
        <f t="shared" si="136"/>
        <v>0</v>
      </c>
      <c r="BK182">
        <f t="shared" si="152"/>
        <v>0</v>
      </c>
      <c r="BM182">
        <f t="shared" si="153"/>
        <v>-8.1149017925325353</v>
      </c>
      <c r="BN182">
        <f t="shared" si="137"/>
        <v>-171.8916730485312</v>
      </c>
      <c r="BQ182" s="56">
        <f t="shared" si="154"/>
        <v>14.291060910303511</v>
      </c>
      <c r="BR182" s="59"/>
      <c r="BS182" s="59"/>
      <c r="BT182" s="59">
        <v>5248.0749999999998</v>
      </c>
      <c r="BU182" s="59">
        <v>1.6024099999999999</v>
      </c>
      <c r="BV182" s="59">
        <v>-238.28</v>
      </c>
      <c r="BW182" s="61"/>
      <c r="BY182" s="59"/>
      <c r="BZ182" s="59"/>
      <c r="CA182" s="59"/>
      <c r="CC182" s="59"/>
    </row>
    <row r="183" spans="1:81" x14ac:dyDescent="0.2">
      <c r="A183">
        <f t="shared" si="158"/>
        <v>74500</v>
      </c>
      <c r="B183">
        <f t="shared" si="138"/>
        <v>74.5</v>
      </c>
      <c r="C183">
        <f t="shared" si="107"/>
        <v>1.001094975947876</v>
      </c>
      <c r="D183">
        <f t="shared" si="108"/>
        <v>4.6775586302276052E-2</v>
      </c>
      <c r="F183">
        <f t="shared" si="109"/>
        <v>2.5805807089823003E-2</v>
      </c>
      <c r="G183">
        <f t="shared" si="110"/>
        <v>9.4387088905785607E-2</v>
      </c>
      <c r="H183">
        <f t="shared" si="111"/>
        <v>-3.0472055610942146</v>
      </c>
      <c r="J183">
        <f t="shared" si="112"/>
        <v>15</v>
      </c>
      <c r="M183">
        <f t="shared" si="113"/>
        <v>1.0708310593514417E-2</v>
      </c>
      <c r="N183">
        <f t="shared" si="114"/>
        <v>-1.5707963250000001</v>
      </c>
      <c r="O183">
        <f t="shared" si="115"/>
        <v>8.4848858640371905</v>
      </c>
      <c r="P183">
        <f t="shared" si="116"/>
        <v>1.4526651417963745</v>
      </c>
      <c r="Q183">
        <f t="shared" si="117"/>
        <v>8.9217953774608496</v>
      </c>
      <c r="R183">
        <f t="shared" si="118"/>
        <v>1.458475238073893</v>
      </c>
      <c r="S183">
        <f t="shared" si="119"/>
        <v>0.99982824050485841</v>
      </c>
      <c r="T183">
        <f t="shared" si="120"/>
        <v>-1.8534530598543267E-2</v>
      </c>
      <c r="U183">
        <f t="shared" si="121"/>
        <v>0.91414502766403116</v>
      </c>
      <c r="V183">
        <f t="shared" si="122"/>
        <v>-0.41740247268640285</v>
      </c>
      <c r="X183">
        <f t="shared" si="139"/>
        <v>-10.839125789616396</v>
      </c>
      <c r="Y183">
        <f t="shared" si="123"/>
        <v>-120.09326739963922</v>
      </c>
      <c r="Z183">
        <f t="shared" si="140"/>
        <v>59.906732600360783</v>
      </c>
      <c r="AC183">
        <v>1</v>
      </c>
      <c r="AD183">
        <f t="shared" si="124"/>
        <v>8.4257514873000012</v>
      </c>
      <c r="AE183">
        <f t="shared" si="125"/>
        <v>-3.9440715625410098E-3</v>
      </c>
      <c r="AF183">
        <f t="shared" si="126"/>
        <v>8.8938487921499994E-3</v>
      </c>
      <c r="AG183">
        <f t="shared" si="141"/>
        <v>750.01165274052812</v>
      </c>
      <c r="AH183">
        <f t="shared" si="142"/>
        <v>-445.03788220931381</v>
      </c>
      <c r="AJ183">
        <f t="shared" si="127"/>
        <v>10500</v>
      </c>
      <c r="AK183">
        <f t="shared" si="128"/>
        <v>194.63485935663002</v>
      </c>
      <c r="AL183">
        <v>1</v>
      </c>
      <c r="AM183">
        <f t="shared" si="129"/>
        <v>8.8655757149370622</v>
      </c>
      <c r="AN183">
        <f t="shared" si="143"/>
        <v>153.59033662976131</v>
      </c>
      <c r="AO183">
        <f t="shared" si="144"/>
        <v>-1167.0318991171898</v>
      </c>
      <c r="AQ183">
        <f t="shared" si="130"/>
        <v>0.45040987298441582</v>
      </c>
      <c r="AR183">
        <f t="shared" si="131"/>
        <v>-67.111071074677952</v>
      </c>
      <c r="AT183">
        <f t="shared" si="156"/>
        <v>-29529.15629062572</v>
      </c>
      <c r="AU183">
        <f t="shared" si="157"/>
        <v>-50534.53478990541</v>
      </c>
      <c r="AV183">
        <f t="shared" si="145"/>
        <v>-2.0996186758484989</v>
      </c>
      <c r="AW183">
        <f t="shared" si="146"/>
        <v>-77550.069566003367</v>
      </c>
      <c r="AX183">
        <f t="shared" si="147"/>
        <v>-12917.144989519926</v>
      </c>
      <c r="AY183">
        <f t="shared" si="155"/>
        <v>-2.976542675245303</v>
      </c>
      <c r="BA183">
        <f t="shared" si="132"/>
        <v>0.74447591782639666</v>
      </c>
      <c r="BB183">
        <f t="shared" si="148"/>
        <v>-2.5629869232935976</v>
      </c>
      <c r="BC183">
        <f t="shared" si="149"/>
        <v>0.8769239993968041</v>
      </c>
      <c r="BD183">
        <f t="shared" si="133"/>
        <v>-129.75595582341819</v>
      </c>
      <c r="BF183">
        <f t="shared" si="134"/>
        <v>-10.797307177202009</v>
      </c>
      <c r="BG183">
        <f t="shared" si="135"/>
        <v>-121.66793029997832</v>
      </c>
      <c r="BH183">
        <f t="shared" si="150"/>
        <v>58.332069700021677</v>
      </c>
      <c r="BI183">
        <f t="shared" si="151"/>
        <v>58.332069700021677</v>
      </c>
      <c r="BJ183">
        <f t="shared" si="136"/>
        <v>0</v>
      </c>
      <c r="BK183">
        <f t="shared" si="152"/>
        <v>0</v>
      </c>
      <c r="BM183">
        <f t="shared" si="153"/>
        <v>-8.2343202539084128</v>
      </c>
      <c r="BN183">
        <f t="shared" si="137"/>
        <v>-171.91197447656015</v>
      </c>
      <c r="BQ183" s="56">
        <f t="shared" si="154"/>
        <v>14.338973876991538</v>
      </c>
      <c r="BR183" s="59"/>
      <c r="BS183" s="59"/>
      <c r="BT183" s="59">
        <v>5370.3180000000002</v>
      </c>
      <c r="BU183" s="59">
        <v>1.48515</v>
      </c>
      <c r="BV183" s="59">
        <v>-237.34699999999998</v>
      </c>
      <c r="BW183" s="61"/>
      <c r="BY183" s="59"/>
      <c r="BZ183" s="59"/>
      <c r="CA183" s="59"/>
      <c r="CC183" s="59"/>
    </row>
    <row r="184" spans="1:81" x14ac:dyDescent="0.2">
      <c r="A184">
        <f t="shared" si="158"/>
        <v>75000</v>
      </c>
      <c r="B184">
        <f t="shared" si="138"/>
        <v>75</v>
      </c>
      <c r="C184">
        <f t="shared" si="107"/>
        <v>1.0011097147591619</v>
      </c>
      <c r="D184">
        <f t="shared" si="108"/>
        <v>4.7089054091999927E-2</v>
      </c>
      <c r="F184">
        <f t="shared" si="109"/>
        <v>2.5455514028054828E-2</v>
      </c>
      <c r="G184">
        <f t="shared" si="110"/>
        <v>9.3728796033140258E-2</v>
      </c>
      <c r="H184">
        <f t="shared" si="111"/>
        <v>-3.0478638539668599</v>
      </c>
      <c r="J184">
        <f t="shared" si="112"/>
        <v>15</v>
      </c>
      <c r="M184">
        <f t="shared" si="113"/>
        <v>1.0636921856224321E-2</v>
      </c>
      <c r="N184">
        <f t="shared" si="114"/>
        <v>-1.5707963250000001</v>
      </c>
      <c r="O184">
        <f t="shared" si="115"/>
        <v>8.5410430229283474</v>
      </c>
      <c r="P184">
        <f t="shared" si="116"/>
        <v>1.4534454488040225</v>
      </c>
      <c r="Q184">
        <f t="shared" si="117"/>
        <v>8.9809234262398832</v>
      </c>
      <c r="R184">
        <f t="shared" si="118"/>
        <v>1.4592178252803172</v>
      </c>
      <c r="S184">
        <f t="shared" si="119"/>
        <v>0.99982592787568303</v>
      </c>
      <c r="T184">
        <f t="shared" si="120"/>
        <v>-1.865889464762531E-2</v>
      </c>
      <c r="U184">
        <f t="shared" si="121"/>
        <v>0.91313506838441716</v>
      </c>
      <c r="V184">
        <f t="shared" si="122"/>
        <v>-0.41988686024869287</v>
      </c>
      <c r="X184">
        <f t="shared" si="139"/>
        <v>-10.910758108452692</v>
      </c>
      <c r="Y184">
        <f t="shared" si="123"/>
        <v>-120.17523946767284</v>
      </c>
      <c r="Z184">
        <f t="shared" si="140"/>
        <v>59.824760532327161</v>
      </c>
      <c r="AC184">
        <v>1</v>
      </c>
      <c r="AD184">
        <f t="shared" si="124"/>
        <v>8.4823001550000008</v>
      </c>
      <c r="AE184">
        <f t="shared" si="125"/>
        <v>-3.9971897733062801E-3</v>
      </c>
      <c r="AF184">
        <f t="shared" si="126"/>
        <v>8.9535390524999991E-3</v>
      </c>
      <c r="AG184">
        <f t="shared" si="141"/>
        <v>748.35532301591763</v>
      </c>
      <c r="AH184">
        <f t="shared" si="142"/>
        <v>-445.78107277524998</v>
      </c>
      <c r="AJ184">
        <f t="shared" si="127"/>
        <v>10500</v>
      </c>
      <c r="AK184">
        <f t="shared" si="128"/>
        <v>195.94113358050004</v>
      </c>
      <c r="AL184">
        <v>1</v>
      </c>
      <c r="AM184">
        <f t="shared" si="129"/>
        <v>8.9250762230910006</v>
      </c>
      <c r="AN184">
        <f t="shared" si="143"/>
        <v>151.86272414164648</v>
      </c>
      <c r="AO184">
        <f t="shared" si="144"/>
        <v>-1159.4452548299366</v>
      </c>
      <c r="AQ184">
        <f t="shared" si="130"/>
        <v>0.44442469223590064</v>
      </c>
      <c r="AR184">
        <f t="shared" si="131"/>
        <v>-66.663703835385093</v>
      </c>
      <c r="AT184">
        <f t="shared" si="156"/>
        <v>-29384.829826795067</v>
      </c>
      <c r="AU184">
        <f t="shared" si="157"/>
        <v>-50086.253733239806</v>
      </c>
      <c r="AV184">
        <f t="shared" si="145"/>
        <v>-2.1013674971305956</v>
      </c>
      <c r="AW184">
        <f t="shared" si="146"/>
        <v>-76526.811225500758</v>
      </c>
      <c r="AX184">
        <f t="shared" si="147"/>
        <v>-12711.931372100846</v>
      </c>
      <c r="AY184">
        <f t="shared" si="155"/>
        <v>-2.9769848485642876</v>
      </c>
      <c r="BA184">
        <f t="shared" si="132"/>
        <v>0.74855918715498926</v>
      </c>
      <c r="BB184">
        <f t="shared" si="148"/>
        <v>-2.5154771024486249</v>
      </c>
      <c r="BC184">
        <f t="shared" si="149"/>
        <v>0.87561735143369201</v>
      </c>
      <c r="BD184">
        <f t="shared" si="133"/>
        <v>-129.83082123709943</v>
      </c>
      <c r="BF184">
        <f t="shared" si="134"/>
        <v>-10.868380980580527</v>
      </c>
      <c r="BG184">
        <f t="shared" si="135"/>
        <v>-121.76255273560376</v>
      </c>
      <c r="BH184">
        <f t="shared" si="150"/>
        <v>58.237447264396238</v>
      </c>
      <c r="BI184">
        <f t="shared" si="151"/>
        <v>58.237447264396238</v>
      </c>
      <c r="BJ184">
        <f t="shared" si="136"/>
        <v>0</v>
      </c>
      <c r="BK184">
        <f t="shared" si="152"/>
        <v>0</v>
      </c>
      <c r="BM184">
        <f t="shared" si="153"/>
        <v>-8.3529038781319027</v>
      </c>
      <c r="BN184">
        <f t="shared" si="137"/>
        <v>-171.93173149850435</v>
      </c>
      <c r="BQ184" s="56">
        <f t="shared" si="154"/>
        <v>14.386483697836512</v>
      </c>
      <c r="BR184" s="59"/>
      <c r="BS184" s="59"/>
      <c r="BT184" s="59">
        <v>5495.4089999999997</v>
      </c>
      <c r="BU184" s="59">
        <v>1.35836</v>
      </c>
      <c r="BV184" s="59">
        <v>-235.61199999999999</v>
      </c>
      <c r="BW184" s="61"/>
      <c r="BY184" s="59"/>
      <c r="BZ184" s="59"/>
      <c r="CA184" s="59"/>
      <c r="CC184" s="59"/>
    </row>
    <row r="185" spans="1:81" x14ac:dyDescent="0.2">
      <c r="A185">
        <f t="shared" si="158"/>
        <v>75500</v>
      </c>
      <c r="B185">
        <f t="shared" si="138"/>
        <v>75.5</v>
      </c>
      <c r="C185">
        <f t="shared" si="107"/>
        <v>1.0011245519386434</v>
      </c>
      <c r="D185">
        <f t="shared" si="108"/>
        <v>4.7402512621017197E-2</v>
      </c>
      <c r="F185">
        <f t="shared" si="109"/>
        <v>2.5112352959446561E-2</v>
      </c>
      <c r="G185">
        <f t="shared" si="110"/>
        <v>9.3079808643980244E-2</v>
      </c>
      <c r="H185">
        <f t="shared" si="111"/>
        <v>-3.0485128413560201</v>
      </c>
      <c r="J185">
        <f t="shared" si="112"/>
        <v>15</v>
      </c>
      <c r="M185">
        <f t="shared" si="113"/>
        <v>1.0566478665123497E-2</v>
      </c>
      <c r="N185">
        <f t="shared" si="114"/>
        <v>-1.5707963250000001</v>
      </c>
      <c r="O185">
        <f t="shared" si="115"/>
        <v>8.5972053143405365</v>
      </c>
      <c r="P185">
        <f t="shared" si="116"/>
        <v>1.4542155613742453</v>
      </c>
      <c r="Q185">
        <f t="shared" si="117"/>
        <v>9.0400563626355801</v>
      </c>
      <c r="R185">
        <f t="shared" si="118"/>
        <v>1.4599506980439421</v>
      </c>
      <c r="S185">
        <f t="shared" si="119"/>
        <v>0.99982359979362467</v>
      </c>
      <c r="T185">
        <f t="shared" si="120"/>
        <v>-1.8783258119470566E-2</v>
      </c>
      <c r="U185">
        <f t="shared" si="121"/>
        <v>0.91212172713870288</v>
      </c>
      <c r="V185">
        <f t="shared" si="122"/>
        <v>-0.42236574904129615</v>
      </c>
      <c r="X185">
        <f t="shared" si="139"/>
        <v>-10.981966401983463</v>
      </c>
      <c r="Y185">
        <f t="shared" si="123"/>
        <v>-120.25750450681912</v>
      </c>
      <c r="Z185">
        <f t="shared" si="140"/>
        <v>59.742495493180883</v>
      </c>
      <c r="AC185">
        <v>1</v>
      </c>
      <c r="AD185">
        <f t="shared" si="124"/>
        <v>8.5388488227000003</v>
      </c>
      <c r="AE185">
        <f t="shared" si="125"/>
        <v>-4.0506632898291775E-3</v>
      </c>
      <c r="AF185">
        <f t="shared" si="126"/>
        <v>9.0132293128499987E-3</v>
      </c>
      <c r="AG185">
        <f t="shared" si="141"/>
        <v>746.69528703155356</v>
      </c>
      <c r="AH185">
        <f t="shared" si="142"/>
        <v>-446.52266664616639</v>
      </c>
      <c r="AJ185">
        <f t="shared" si="127"/>
        <v>10500</v>
      </c>
      <c r="AK185">
        <f t="shared" si="128"/>
        <v>197.24740780437003</v>
      </c>
      <c r="AL185">
        <v>1</v>
      </c>
      <c r="AM185">
        <f t="shared" si="129"/>
        <v>8.9845767312449407</v>
      </c>
      <c r="AN185">
        <f t="shared" si="143"/>
        <v>150.16876128880099</v>
      </c>
      <c r="AO185">
        <f t="shared" si="144"/>
        <v>-1151.9553506308675</v>
      </c>
      <c r="AQ185">
        <f t="shared" si="130"/>
        <v>0.43855802122620824</v>
      </c>
      <c r="AR185">
        <f t="shared" si="131"/>
        <v>-66.222261205157437</v>
      </c>
      <c r="AT185">
        <f t="shared" si="156"/>
        <v>-29242.271457126379</v>
      </c>
      <c r="AU185">
        <f t="shared" si="157"/>
        <v>-49643.676435580543</v>
      </c>
      <c r="AV185">
        <f t="shared" si="145"/>
        <v>-2.1031204215141761</v>
      </c>
      <c r="AW185">
        <f t="shared" si="146"/>
        <v>-75523.488297388525</v>
      </c>
      <c r="AX185">
        <f t="shared" si="147"/>
        <v>-12511.798904774801</v>
      </c>
      <c r="AY185">
        <f t="shared" si="155"/>
        <v>-2.9774161485650872</v>
      </c>
      <c r="BA185">
        <f t="shared" si="132"/>
        <v>0.75263032487798975</v>
      </c>
      <c r="BB185">
        <f t="shared" si="148"/>
        <v>-2.4683657425965064</v>
      </c>
      <c r="BC185">
        <f t="shared" si="149"/>
        <v>0.87429572705091108</v>
      </c>
      <c r="BD185">
        <f t="shared" si="133"/>
        <v>-129.90654473642087</v>
      </c>
      <c r="BF185">
        <f t="shared" si="134"/>
        <v>-10.939030178781062</v>
      </c>
      <c r="BG185">
        <f t="shared" si="135"/>
        <v>-121.85750062253821</v>
      </c>
      <c r="BH185">
        <f t="shared" si="150"/>
        <v>58.142499377461789</v>
      </c>
      <c r="BI185">
        <f t="shared" si="151"/>
        <v>58.142499377461789</v>
      </c>
      <c r="BJ185">
        <f t="shared" si="136"/>
        <v>0</v>
      </c>
      <c r="BK185">
        <f t="shared" si="152"/>
        <v>0</v>
      </c>
      <c r="BM185">
        <f t="shared" si="153"/>
        <v>-8.4706644361845544</v>
      </c>
      <c r="BN185">
        <f t="shared" si="137"/>
        <v>-171.95095588611736</v>
      </c>
      <c r="BQ185" s="56">
        <f t="shared" si="154"/>
        <v>14.433595057688631</v>
      </c>
      <c r="BR185" s="59"/>
      <c r="BS185" s="59"/>
      <c r="BT185" s="59">
        <v>5623.4129999999996</v>
      </c>
      <c r="BU185" s="59">
        <v>1.07298</v>
      </c>
      <c r="BV185" s="59">
        <v>-235.13800000000001</v>
      </c>
      <c r="BW185" s="61"/>
      <c r="BY185" s="59"/>
      <c r="BZ185" s="59"/>
      <c r="CA185" s="59"/>
      <c r="CC185" s="59"/>
    </row>
    <row r="186" spans="1:81" x14ac:dyDescent="0.2">
      <c r="A186">
        <f t="shared" si="158"/>
        <v>76000</v>
      </c>
      <c r="B186">
        <f t="shared" si="138"/>
        <v>76</v>
      </c>
      <c r="C186">
        <f t="shared" si="107"/>
        <v>1.0011394874819475</v>
      </c>
      <c r="D186">
        <f t="shared" si="108"/>
        <v>4.7715961828142452E-2</v>
      </c>
      <c r="F186">
        <f t="shared" si="109"/>
        <v>2.4776130346930676E-2</v>
      </c>
      <c r="G186">
        <f t="shared" si="110"/>
        <v>9.2439927304744138E-2</v>
      </c>
      <c r="H186">
        <f t="shared" si="111"/>
        <v>-3.0491527226952559</v>
      </c>
      <c r="J186">
        <f t="shared" si="112"/>
        <v>15</v>
      </c>
      <c r="M186">
        <f t="shared" si="113"/>
        <v>1.0496962358116105E-2</v>
      </c>
      <c r="N186">
        <f t="shared" si="114"/>
        <v>-1.5707963250000001</v>
      </c>
      <c r="O186">
        <f t="shared" si="115"/>
        <v>8.653372638340187</v>
      </c>
      <c r="P186">
        <f t="shared" si="116"/>
        <v>1.4549756770947746</v>
      </c>
      <c r="Q186">
        <f t="shared" si="117"/>
        <v>9.0991940913584681</v>
      </c>
      <c r="R186">
        <f t="shared" si="118"/>
        <v>1.4606740449788453</v>
      </c>
      <c r="S186">
        <f t="shared" si="119"/>
        <v>0.99982125625900797</v>
      </c>
      <c r="T186">
        <f t="shared" si="120"/>
        <v>-1.8907621010236197E-2</v>
      </c>
      <c r="U186">
        <f t="shared" si="121"/>
        <v>0.91110505247227747</v>
      </c>
      <c r="V186">
        <f t="shared" si="122"/>
        <v>-0.42483912693617931</v>
      </c>
      <c r="X186">
        <f t="shared" si="139"/>
        <v>-11.052757539354317</v>
      </c>
      <c r="Y186">
        <f t="shared" si="123"/>
        <v>-120.34005112444591</v>
      </c>
      <c r="Z186">
        <f t="shared" si="140"/>
        <v>59.659948875554093</v>
      </c>
      <c r="AC186">
        <v>1</v>
      </c>
      <c r="AD186">
        <f t="shared" si="124"/>
        <v>8.5953974904000017</v>
      </c>
      <c r="AE186">
        <f t="shared" si="125"/>
        <v>-4.1044921121097021E-3</v>
      </c>
      <c r="AF186">
        <f t="shared" si="126"/>
        <v>9.0729195731999984E-3</v>
      </c>
      <c r="AG186">
        <f t="shared" si="141"/>
        <v>745.03164263580538</v>
      </c>
      <c r="AH186">
        <f t="shared" si="142"/>
        <v>-447.26247904339783</v>
      </c>
      <c r="AJ186">
        <f t="shared" si="127"/>
        <v>10500</v>
      </c>
      <c r="AK186">
        <f t="shared" si="128"/>
        <v>198.55368202824002</v>
      </c>
      <c r="AL186">
        <v>1</v>
      </c>
      <c r="AM186">
        <f t="shared" si="129"/>
        <v>9.0440772393988809</v>
      </c>
      <c r="AN186">
        <f t="shared" si="143"/>
        <v>148.50758338958531</v>
      </c>
      <c r="AO186">
        <f t="shared" si="144"/>
        <v>-1144.5603727836397</v>
      </c>
      <c r="AQ186">
        <f t="shared" si="130"/>
        <v>0.43280675178532785</v>
      </c>
      <c r="AR186">
        <f t="shared" si="131"/>
        <v>-65.78662627136984</v>
      </c>
      <c r="AT186">
        <f t="shared" si="156"/>
        <v>-29101.434828807909</v>
      </c>
      <c r="AU186">
        <f t="shared" si="157"/>
        <v>-49206.696455176731</v>
      </c>
      <c r="AV186">
        <f t="shared" si="145"/>
        <v>-2.1048772509781815</v>
      </c>
      <c r="AW186">
        <f t="shared" si="146"/>
        <v>-74539.589209004043</v>
      </c>
      <c r="AX186">
        <f t="shared" si="147"/>
        <v>-12316.586978175877</v>
      </c>
      <c r="AY186">
        <f t="shared" si="155"/>
        <v>-2.9778367760546507</v>
      </c>
      <c r="BA186">
        <f t="shared" si="132"/>
        <v>0.75668929190500711</v>
      </c>
      <c r="BB186">
        <f t="shared" si="148"/>
        <v>-2.4216482359247737</v>
      </c>
      <c r="BC186">
        <f t="shared" si="149"/>
        <v>0.87295952507646923</v>
      </c>
      <c r="BD186">
        <f t="shared" si="133"/>
        <v>-129.98310347022093</v>
      </c>
      <c r="BF186">
        <f t="shared" si="134"/>
        <v>-11.009261683578092</v>
      </c>
      <c r="BG186">
        <f t="shared" si="135"/>
        <v>-121.95276253982702</v>
      </c>
      <c r="BH186">
        <f t="shared" si="150"/>
        <v>58.04723746017298</v>
      </c>
      <c r="BI186">
        <f t="shared" si="151"/>
        <v>58.04723746017298</v>
      </c>
      <c r="BJ186">
        <f t="shared" si="136"/>
        <v>0</v>
      </c>
      <c r="BK186">
        <f t="shared" si="152"/>
        <v>0</v>
      </c>
      <c r="BM186">
        <f t="shared" si="153"/>
        <v>-8.5876134476533199</v>
      </c>
      <c r="BN186">
        <f t="shared" si="137"/>
        <v>-171.96965906960608</v>
      </c>
      <c r="BQ186" s="56">
        <f t="shared" si="154"/>
        <v>14.480312564360363</v>
      </c>
      <c r="BR186" s="59"/>
      <c r="BS186" s="59"/>
      <c r="BT186" s="59">
        <v>5754.3990000000003</v>
      </c>
      <c r="BU186" s="59">
        <v>0.86915299999999995</v>
      </c>
      <c r="BV186" s="59">
        <v>-234.68899999999999</v>
      </c>
      <c r="BW186" s="61"/>
      <c r="BY186" s="59"/>
      <c r="BZ186" s="59"/>
      <c r="CA186" s="59"/>
      <c r="CC186" s="59"/>
    </row>
    <row r="187" spans="1:81" x14ac:dyDescent="0.2">
      <c r="A187">
        <f t="shared" si="158"/>
        <v>76500</v>
      </c>
      <c r="B187">
        <f t="shared" si="138"/>
        <v>76.5</v>
      </c>
      <c r="C187">
        <f t="shared" si="107"/>
        <v>1.0011545213846718</v>
      </c>
      <c r="D187">
        <f t="shared" si="108"/>
        <v>4.8029401652201244E-2</v>
      </c>
      <c r="F187">
        <f t="shared" si="109"/>
        <v>2.4446659213434776E-2</v>
      </c>
      <c r="G187">
        <f t="shared" si="110"/>
        <v>9.1808958325624662E-2</v>
      </c>
      <c r="H187">
        <f t="shared" si="111"/>
        <v>-3.0497836916743757</v>
      </c>
      <c r="J187">
        <f t="shared" si="112"/>
        <v>15</v>
      </c>
      <c r="M187">
        <f t="shared" si="113"/>
        <v>1.0428354761004236E-2</v>
      </c>
      <c r="N187">
        <f t="shared" si="114"/>
        <v>-1.5707963250000001</v>
      </c>
      <c r="O187">
        <f t="shared" si="115"/>
        <v>8.7095448975627505</v>
      </c>
      <c r="P187">
        <f t="shared" si="116"/>
        <v>1.4557259885028655</v>
      </c>
      <c r="Q187">
        <f t="shared" si="117"/>
        <v>9.1583365195726927</v>
      </c>
      <c r="R187">
        <f t="shared" si="118"/>
        <v>1.4613880498674685</v>
      </c>
      <c r="S187">
        <f t="shared" si="119"/>
        <v>0.99981889727215867</v>
      </c>
      <c r="T187">
        <f t="shared" si="120"/>
        <v>-1.9031983316079484E-2</v>
      </c>
      <c r="U187">
        <f t="shared" si="121"/>
        <v>0.91008509277408545</v>
      </c>
      <c r="V187">
        <f t="shared" si="122"/>
        <v>-0.42730698212887774</v>
      </c>
      <c r="X187">
        <f t="shared" si="139"/>
        <v>-11.123138221097484</v>
      </c>
      <c r="Y187">
        <f t="shared" si="123"/>
        <v>-120.42286818357037</v>
      </c>
      <c r="Z187">
        <f t="shared" si="140"/>
        <v>59.577131816429628</v>
      </c>
      <c r="AC187">
        <v>1</v>
      </c>
      <c r="AD187">
        <f t="shared" si="124"/>
        <v>8.6519461581000012</v>
      </c>
      <c r="AE187">
        <f t="shared" si="125"/>
        <v>-4.1586762401478539E-3</v>
      </c>
      <c r="AF187">
        <f t="shared" si="126"/>
        <v>9.1326098335499997E-3</v>
      </c>
      <c r="AG187">
        <f t="shared" si="141"/>
        <v>743.36448712752212</v>
      </c>
      <c r="AH187">
        <f t="shared" si="142"/>
        <v>-448.00033122585728</v>
      </c>
      <c r="AJ187">
        <f t="shared" si="127"/>
        <v>10500</v>
      </c>
      <c r="AK187">
        <f t="shared" si="128"/>
        <v>199.85995625211004</v>
      </c>
      <c r="AL187">
        <v>1</v>
      </c>
      <c r="AM187">
        <f t="shared" si="129"/>
        <v>9.103577747552821</v>
      </c>
      <c r="AN187">
        <f t="shared" si="143"/>
        <v>146.87835324550969</v>
      </c>
      <c r="AO187">
        <f t="shared" si="144"/>
        <v>-1137.2585519509146</v>
      </c>
      <c r="AQ187">
        <f t="shared" si="130"/>
        <v>0.42716787697565145</v>
      </c>
      <c r="AR187">
        <f t="shared" si="131"/>
        <v>-65.35668517727467</v>
      </c>
      <c r="AT187">
        <f t="shared" si="156"/>
        <v>-28962.275177457774</v>
      </c>
      <c r="AU187">
        <f t="shared" si="157"/>
        <v>-48775.210107533851</v>
      </c>
      <c r="AV187">
        <f t="shared" si="145"/>
        <v>-2.1066377925698743</v>
      </c>
      <c r="AW187">
        <f t="shared" si="146"/>
        <v>-73574.618618433087</v>
      </c>
      <c r="AX187">
        <f t="shared" si="147"/>
        <v>-12126.141082362501</v>
      </c>
      <c r="AY187">
        <f t="shared" si="155"/>
        <v>-2.9782469267489935</v>
      </c>
      <c r="BA187">
        <f t="shared" si="132"/>
        <v>0.7607360504803764</v>
      </c>
      <c r="BB187">
        <f t="shared" si="148"/>
        <v>-2.3753200499826059</v>
      </c>
      <c r="BC187">
        <f t="shared" si="149"/>
        <v>0.87160913417911923</v>
      </c>
      <c r="BD187">
        <f t="shared" si="133"/>
        <v>-130.06047516942039</v>
      </c>
      <c r="BF187">
        <f t="shared" si="134"/>
        <v>-11.079082237913557</v>
      </c>
      <c r="BG187">
        <f t="shared" si="135"/>
        <v>-122.04832731950461</v>
      </c>
      <c r="BH187">
        <f t="shared" si="150"/>
        <v>57.951672680495392</v>
      </c>
      <c r="BI187">
        <f t="shared" si="151"/>
        <v>57.951672680495392</v>
      </c>
      <c r="BJ187">
        <f t="shared" si="136"/>
        <v>0</v>
      </c>
      <c r="BK187">
        <f t="shared" si="152"/>
        <v>0</v>
      </c>
      <c r="BM187">
        <f t="shared" si="153"/>
        <v>-8.7037621879309519</v>
      </c>
      <c r="BN187">
        <f t="shared" si="137"/>
        <v>-171.98785215008425</v>
      </c>
      <c r="BQ187" s="56">
        <f t="shared" si="154"/>
        <v>14.52664075030253</v>
      </c>
      <c r="BR187" s="59"/>
      <c r="BS187" s="59"/>
      <c r="BT187" s="59">
        <v>5888.4369999999999</v>
      </c>
      <c r="BU187" s="59">
        <v>0.80323599999999995</v>
      </c>
      <c r="BV187" s="59">
        <v>-233.95400000000001</v>
      </c>
      <c r="BW187" s="61"/>
      <c r="BY187" s="59"/>
      <c r="BZ187" s="59"/>
      <c r="CA187" s="59"/>
      <c r="CC187" s="59"/>
    </row>
    <row r="188" spans="1:81" x14ac:dyDescent="0.2">
      <c r="A188">
        <f t="shared" si="158"/>
        <v>77000</v>
      </c>
      <c r="B188">
        <f t="shared" si="138"/>
        <v>77</v>
      </c>
      <c r="C188">
        <f t="shared" si="107"/>
        <v>1.0011696536423849</v>
      </c>
      <c r="D188">
        <f t="shared" si="108"/>
        <v>4.8342832032030193E-2</v>
      </c>
      <c r="F188">
        <f t="shared" si="109"/>
        <v>2.4123758875363405E-2</v>
      </c>
      <c r="G188">
        <f t="shared" si="110"/>
        <v>9.1186713552756329E-2</v>
      </c>
      <c r="H188">
        <f t="shared" si="111"/>
        <v>-3.0504059364472438</v>
      </c>
      <c r="J188">
        <f t="shared" si="112"/>
        <v>15</v>
      </c>
      <c r="M188">
        <f t="shared" si="113"/>
        <v>1.0360638171647066E-2</v>
      </c>
      <c r="N188">
        <f t="shared" si="114"/>
        <v>-1.5707963250000001</v>
      </c>
      <c r="O188">
        <f t="shared" si="115"/>
        <v>8.7657219971309459</v>
      </c>
      <c r="P188">
        <f t="shared" si="116"/>
        <v>1.4564666832449091</v>
      </c>
      <c r="Q188">
        <f t="shared" si="117"/>
        <v>9.2174835568177738</v>
      </c>
      <c r="R188">
        <f t="shared" si="118"/>
        <v>1.4620928918137153</v>
      </c>
      <c r="S188">
        <f t="shared" si="119"/>
        <v>0.99981652283340505</v>
      </c>
      <c r="T188">
        <f t="shared" si="120"/>
        <v>-1.9156345033157808E-2</v>
      </c>
      <c r="U188">
        <f t="shared" si="121"/>
        <v>0.90906189627251832</v>
      </c>
      <c r="V188">
        <f t="shared" si="122"/>
        <v>-0.42976930313665945</v>
      </c>
      <c r="X188">
        <f t="shared" si="139"/>
        <v>-11.193114984444335</v>
      </c>
      <c r="Y188">
        <f t="shared" si="123"/>
        <v>-120.50594479674285</v>
      </c>
      <c r="Z188">
        <f t="shared" si="140"/>
        <v>59.494055203257147</v>
      </c>
      <c r="AC188">
        <v>1</v>
      </c>
      <c r="AD188">
        <f t="shared" si="124"/>
        <v>8.7084948258000008</v>
      </c>
      <c r="AE188">
        <f t="shared" si="125"/>
        <v>-4.2132156739436329E-3</v>
      </c>
      <c r="AF188">
        <f t="shared" si="126"/>
        <v>9.1923000938999994E-3</v>
      </c>
      <c r="AG188">
        <f t="shared" si="141"/>
        <v>741.69391724788397</v>
      </c>
      <c r="AH188">
        <f t="shared" si="142"/>
        <v>-448.73605031179596</v>
      </c>
      <c r="AJ188">
        <f t="shared" si="127"/>
        <v>10500</v>
      </c>
      <c r="AK188">
        <f t="shared" si="128"/>
        <v>201.16623047598003</v>
      </c>
      <c r="AL188">
        <v>1</v>
      </c>
      <c r="AM188">
        <f t="shared" si="129"/>
        <v>9.1630782557067612</v>
      </c>
      <c r="AN188">
        <f t="shared" si="143"/>
        <v>145.28026010395939</v>
      </c>
      <c r="AO188">
        <f t="shared" si="144"/>
        <v>-1130.0481618660328</v>
      </c>
      <c r="AQ188">
        <f t="shared" si="130"/>
        <v>0.42163848716110808</v>
      </c>
      <c r="AR188">
        <f t="shared" si="131"/>
        <v>-64.93232702281064</v>
      </c>
      <c r="AT188">
        <f t="shared" si="156"/>
        <v>-28824.749264564951</v>
      </c>
      <c r="AU188">
        <f t="shared" si="157"/>
        <v>-48349.116374957172</v>
      </c>
      <c r="AV188">
        <f t="shared" si="145"/>
        <v>-2.1084018582533184</v>
      </c>
      <c r="AW188">
        <f t="shared" si="146"/>
        <v>-72628.096803176129</v>
      </c>
      <c r="AX188">
        <f t="shared" si="147"/>
        <v>-11940.312537575748</v>
      </c>
      <c r="AY188">
        <f t="shared" si="155"/>
        <v>-2.9786467914356543</v>
      </c>
      <c r="BA188">
        <f t="shared" si="132"/>
        <v>0.76477056416146227</v>
      </c>
      <c r="BB188">
        <f t="shared" si="148"/>
        <v>-2.3293767260477862</v>
      </c>
      <c r="BC188">
        <f t="shared" si="149"/>
        <v>0.87024493318233587</v>
      </c>
      <c r="BD188">
        <f t="shared" si="133"/>
        <v>-130.13863812903293</v>
      </c>
      <c r="BF188">
        <f t="shared" si="134"/>
        <v>-11.148498421205664</v>
      </c>
      <c r="BG188">
        <f t="shared" si="135"/>
        <v>-122.1441840405114</v>
      </c>
      <c r="BH188">
        <f t="shared" si="150"/>
        <v>57.855815959488595</v>
      </c>
      <c r="BI188">
        <f t="shared" si="151"/>
        <v>57.855815959488595</v>
      </c>
      <c r="BJ188">
        <f t="shared" si="136"/>
        <v>0</v>
      </c>
      <c r="BK188">
        <f t="shared" si="152"/>
        <v>0</v>
      </c>
      <c r="BM188">
        <f t="shared" si="153"/>
        <v>-8.819121695157877</v>
      </c>
      <c r="BN188">
        <f t="shared" si="137"/>
        <v>-172.00554591147849</v>
      </c>
      <c r="BQ188" s="56">
        <f t="shared" si="154"/>
        <v>14.572584074237351</v>
      </c>
      <c r="BR188" s="59"/>
      <c r="BS188" s="59"/>
      <c r="BT188" s="59">
        <v>6025.5959999999995</v>
      </c>
      <c r="BU188" s="59">
        <v>0.76992799999999995</v>
      </c>
      <c r="BV188" s="59">
        <v>-234.14699999999999</v>
      </c>
      <c r="BW188" s="61"/>
      <c r="BY188" s="59"/>
      <c r="BZ188" s="59"/>
      <c r="CA188" s="59"/>
      <c r="CC188" s="59"/>
    </row>
    <row r="189" spans="1:81" x14ac:dyDescent="0.2">
      <c r="A189">
        <f t="shared" si="158"/>
        <v>77500</v>
      </c>
      <c r="B189">
        <f t="shared" si="138"/>
        <v>77.5</v>
      </c>
      <c r="C189">
        <f t="shared" si="107"/>
        <v>1.0011848842506277</v>
      </c>
      <c r="D189">
        <f t="shared" si="108"/>
        <v>4.8656252906476995E-2</v>
      </c>
      <c r="F189">
        <f t="shared" si="109"/>
        <v>2.3807254688692752E-2</v>
      </c>
      <c r="G189">
        <f t="shared" si="110"/>
        <v>9.0573010169447105E-2</v>
      </c>
      <c r="H189">
        <f t="shared" si="111"/>
        <v>-3.0510196398305531</v>
      </c>
      <c r="J189">
        <f t="shared" si="112"/>
        <v>15</v>
      </c>
      <c r="M189">
        <f t="shared" si="113"/>
        <v>1.0293795344733214E-2</v>
      </c>
      <c r="N189">
        <f t="shared" si="114"/>
        <v>-1.5707963250000001</v>
      </c>
      <c r="O189">
        <f t="shared" si="115"/>
        <v>8.821903844576104</v>
      </c>
      <c r="P189">
        <f t="shared" si="116"/>
        <v>1.4571979442300595</v>
      </c>
      <c r="Q189">
        <f t="shared" si="117"/>
        <v>9.2766351149333435</v>
      </c>
      <c r="R189">
        <f t="shared" si="118"/>
        <v>1.4627887453902886</v>
      </c>
      <c r="S189">
        <f t="shared" si="119"/>
        <v>0.99981413294307742</v>
      </c>
      <c r="T189">
        <f t="shared" si="120"/>
        <v>-1.9280706157628658E-2</v>
      </c>
      <c r="U189">
        <f t="shared" si="121"/>
        <v>0.90803551103138613</v>
      </c>
      <c r="V189">
        <f t="shared" si="122"/>
        <v>-0.43222607879666286</v>
      </c>
      <c r="X189">
        <f t="shared" si="139"/>
        <v>-11.262694208432348</v>
      </c>
      <c r="Y189">
        <f t="shared" si="123"/>
        <v>-120.58927032008543</v>
      </c>
      <c r="Z189">
        <f t="shared" si="140"/>
        <v>59.410729679914567</v>
      </c>
      <c r="AC189">
        <v>1</v>
      </c>
      <c r="AD189">
        <f t="shared" si="124"/>
        <v>8.7650434935000003</v>
      </c>
      <c r="AE189">
        <f t="shared" si="125"/>
        <v>-4.268110413497039E-3</v>
      </c>
      <c r="AF189">
        <f t="shared" si="126"/>
        <v>9.251990354249999E-3</v>
      </c>
      <c r="AG189">
        <f t="shared" si="141"/>
        <v>740.0200291724816</v>
      </c>
      <c r="AH189">
        <f t="shared" si="142"/>
        <v>-449.46946910695897</v>
      </c>
      <c r="AJ189">
        <f t="shared" si="127"/>
        <v>10500</v>
      </c>
      <c r="AK189">
        <f t="shared" si="128"/>
        <v>202.47250469985002</v>
      </c>
      <c r="AL189">
        <v>1</v>
      </c>
      <c r="AM189">
        <f t="shared" si="129"/>
        <v>9.2225787638607013</v>
      </c>
      <c r="AN189">
        <f t="shared" si="143"/>
        <v>143.71251866611632</v>
      </c>
      <c r="AO189">
        <f t="shared" si="144"/>
        <v>-1122.9275180512091</v>
      </c>
      <c r="AQ189">
        <f t="shared" si="130"/>
        <v>0.41621576625322565</v>
      </c>
      <c r="AR189">
        <f t="shared" si="131"/>
        <v>-64.513443769249974</v>
      </c>
      <c r="AT189">
        <f t="shared" si="156"/>
        <v>-28688.815317741675</v>
      </c>
      <c r="AU189">
        <f t="shared" si="157"/>
        <v>-47928.316819629399</v>
      </c>
      <c r="AV189">
        <f t="shared" si="145"/>
        <v>-2.110169264763428</v>
      </c>
      <c r="AW189">
        <f t="shared" si="146"/>
        <v>-71699.559075388868</v>
      </c>
      <c r="AX189">
        <f t="shared" si="147"/>
        <v>-11758.958238502328</v>
      </c>
      <c r="AY189">
        <f t="shared" si="155"/>
        <v>-2.979036556130009</v>
      </c>
      <c r="BA189">
        <f t="shared" si="132"/>
        <v>0.76879279779750032</v>
      </c>
      <c r="BB189">
        <f t="shared" si="148"/>
        <v>-2.2838138775356529</v>
      </c>
      <c r="BC189">
        <f t="shared" si="149"/>
        <v>0.86886729136658092</v>
      </c>
      <c r="BD189">
        <f t="shared" si="133"/>
        <v>-130.2175711908466</v>
      </c>
      <c r="BF189">
        <f t="shared" si="134"/>
        <v>-11.21751665445232</v>
      </c>
      <c r="BG189">
        <f t="shared" si="135"/>
        <v>-122.24032202276419</v>
      </c>
      <c r="BH189">
        <f t="shared" si="150"/>
        <v>57.75967797723581</v>
      </c>
      <c r="BI189">
        <f t="shared" si="151"/>
        <v>57.75967797723581</v>
      </c>
      <c r="BJ189">
        <f t="shared" si="136"/>
        <v>0</v>
      </c>
      <c r="BK189">
        <f t="shared" si="152"/>
        <v>0</v>
      </c>
      <c r="BM189">
        <f t="shared" si="153"/>
        <v>-8.9337027769166664</v>
      </c>
      <c r="BN189">
        <f t="shared" si="137"/>
        <v>-172.02275083191759</v>
      </c>
      <c r="BQ189" s="56">
        <f t="shared" si="154"/>
        <v>14.618146922749485</v>
      </c>
      <c r="BR189" s="59"/>
      <c r="BS189" s="59"/>
      <c r="BT189" s="59">
        <v>6165.95</v>
      </c>
      <c r="BU189" s="59">
        <v>0.46947800000000001</v>
      </c>
      <c r="BV189" s="59">
        <v>-232.05599999999998</v>
      </c>
      <c r="BW189" s="61"/>
      <c r="BY189" s="59"/>
      <c r="BZ189" s="59"/>
      <c r="CA189" s="59"/>
      <c r="CC189" s="59"/>
    </row>
    <row r="190" spans="1:81" x14ac:dyDescent="0.2">
      <c r="A190">
        <f t="shared" si="158"/>
        <v>78000</v>
      </c>
      <c r="B190">
        <f t="shared" si="138"/>
        <v>78</v>
      </c>
      <c r="C190">
        <f t="shared" si="107"/>
        <v>1.0012002132049114</v>
      </c>
      <c r="D190">
        <f t="shared" si="108"/>
        <v>4.8969664214400542E-2</v>
      </c>
      <c r="F190">
        <f t="shared" si="109"/>
        <v>2.3496977806997606E-2</v>
      </c>
      <c r="G190">
        <f t="shared" si="110"/>
        <v>8.9967670505995204E-2</v>
      </c>
      <c r="H190">
        <f t="shared" si="111"/>
        <v>-3.0516249794940049</v>
      </c>
      <c r="J190">
        <f t="shared" si="112"/>
        <v>15</v>
      </c>
      <c r="M190">
        <f t="shared" si="113"/>
        <v>1.0227809477138769E-2</v>
      </c>
      <c r="N190">
        <f t="shared" si="114"/>
        <v>-1.5707963250000001</v>
      </c>
      <c r="O190">
        <f t="shared" si="115"/>
        <v>8.8780903497624575</v>
      </c>
      <c r="P190">
        <f t="shared" si="116"/>
        <v>1.457919949778131</v>
      </c>
      <c r="Q190">
        <f t="shared" si="117"/>
        <v>9.3357911079867151</v>
      </c>
      <c r="R190">
        <f t="shared" si="118"/>
        <v>1.4634757807805188</v>
      </c>
      <c r="S190">
        <f t="shared" si="119"/>
        <v>0.9998117276015086</v>
      </c>
      <c r="T190">
        <f t="shared" si="120"/>
        <v>-1.9405066685649647E-2</v>
      </c>
      <c r="U190">
        <f t="shared" si="121"/>
        <v>0.9070059849459674</v>
      </c>
      <c r="V190">
        <f t="shared" si="122"/>
        <v>-0.43467729826400819</v>
      </c>
      <c r="X190">
        <f t="shared" si="139"/>
        <v>-11.331882118815994</v>
      </c>
      <c r="Y190">
        <f t="shared" si="123"/>
        <v>-120.67283434747984</v>
      </c>
      <c r="Z190">
        <f t="shared" si="140"/>
        <v>59.327165652520165</v>
      </c>
      <c r="AC190">
        <v>1</v>
      </c>
      <c r="AD190">
        <f t="shared" si="124"/>
        <v>8.8215921612000017</v>
      </c>
      <c r="AE190">
        <f t="shared" si="125"/>
        <v>-4.3233604588080732E-3</v>
      </c>
      <c r="AF190">
        <f t="shared" si="126"/>
        <v>9.3116806145999986E-3</v>
      </c>
      <c r="AG190">
        <f t="shared" si="141"/>
        <v>738.3429185036249</v>
      </c>
      <c r="AH190">
        <f t="shared" si="142"/>
        <v>-450.20042593885773</v>
      </c>
      <c r="AJ190">
        <f t="shared" si="127"/>
        <v>10500</v>
      </c>
      <c r="AK190">
        <f t="shared" si="128"/>
        <v>203.77877892372001</v>
      </c>
      <c r="AL190">
        <v>1</v>
      </c>
      <c r="AM190">
        <f t="shared" si="129"/>
        <v>9.2820792720146397</v>
      </c>
      <c r="AN190">
        <f t="shared" si="143"/>
        <v>142.17436813784994</v>
      </c>
      <c r="AO190">
        <f t="shared" si="144"/>
        <v>-1115.8949765803952</v>
      </c>
      <c r="AQ190">
        <f t="shared" si="130"/>
        <v>0.41089698812507702</v>
      </c>
      <c r="AR190">
        <f t="shared" si="131"/>
        <v>-64.099930147512012</v>
      </c>
      <c r="AT190">
        <f t="shared" si="156"/>
        <v>-28554.432973644318</v>
      </c>
      <c r="AU190">
        <f t="shared" si="157"/>
        <v>-47512.715500063408</v>
      </c>
      <c r="AV190">
        <f t="shared" si="145"/>
        <v>-2.1119398334653594</v>
      </c>
      <c r="AW190">
        <f t="shared" si="146"/>
        <v>-70788.555222391078</v>
      </c>
      <c r="AX190">
        <f t="shared" si="147"/>
        <v>-11581.940411285454</v>
      </c>
      <c r="AY190">
        <f t="shared" si="155"/>
        <v>-2.9794164022257021</v>
      </c>
      <c r="BA190">
        <f t="shared" si="132"/>
        <v>0.77280271750895901</v>
      </c>
      <c r="BB190">
        <f t="shared" si="148"/>
        <v>-2.2386271884488189</v>
      </c>
      <c r="BC190">
        <f t="shared" si="149"/>
        <v>0.86747656876034274</v>
      </c>
      <c r="BD190">
        <f t="shared" si="133"/>
        <v>-130.29725372674852</v>
      </c>
      <c r="BF190">
        <f t="shared" si="134"/>
        <v>-11.286143205138522</v>
      </c>
      <c r="BG190">
        <f t="shared" si="135"/>
        <v>-122.3367308213772</v>
      </c>
      <c r="BH190">
        <f t="shared" si="150"/>
        <v>57.663269178622798</v>
      </c>
      <c r="BI190">
        <f t="shared" si="151"/>
        <v>57.663269178622798</v>
      </c>
      <c r="BJ190">
        <f t="shared" si="136"/>
        <v>0</v>
      </c>
      <c r="BK190">
        <f t="shared" si="152"/>
        <v>0</v>
      </c>
      <c r="BM190">
        <f t="shared" si="153"/>
        <v>-9.047516016689702</v>
      </c>
      <c r="BN190">
        <f t="shared" si="137"/>
        <v>-172.03947709462864</v>
      </c>
      <c r="BQ190" s="56">
        <f t="shared" si="154"/>
        <v>14.663333611836318</v>
      </c>
      <c r="BR190" s="59"/>
      <c r="BS190" s="59"/>
      <c r="BT190" s="59">
        <v>6309.5730000000003</v>
      </c>
      <c r="BU190" s="59">
        <v>0.36985299999999999</v>
      </c>
      <c r="BV190" s="59">
        <v>-231.369</v>
      </c>
      <c r="BW190" s="61"/>
      <c r="BY190" s="59"/>
      <c r="BZ190" s="59"/>
      <c r="CA190" s="59"/>
      <c r="CC190" s="59"/>
    </row>
    <row r="191" spans="1:81" x14ac:dyDescent="0.2">
      <c r="A191">
        <f t="shared" si="158"/>
        <v>78500</v>
      </c>
      <c r="B191">
        <f t="shared" si="138"/>
        <v>78.5</v>
      </c>
      <c r="C191">
        <f t="shared" si="107"/>
        <v>1.0012156405007189</v>
      </c>
      <c r="D191">
        <f t="shared" si="108"/>
        <v>4.928306589467097E-2</v>
      </c>
      <c r="F191">
        <f t="shared" si="109"/>
        <v>2.3192764950770842E-2</v>
      </c>
      <c r="G191">
        <f t="shared" si="110"/>
        <v>8.9370521857658133E-2</v>
      </c>
      <c r="H191">
        <f t="shared" si="111"/>
        <v>-3.0522221281423421</v>
      </c>
      <c r="J191">
        <f t="shared" si="112"/>
        <v>15</v>
      </c>
      <c r="M191">
        <f t="shared" si="113"/>
        <v>1.0162664193844892E-2</v>
      </c>
      <c r="N191">
        <f t="shared" si="114"/>
        <v>-1.5707963250000001</v>
      </c>
      <c r="O191">
        <f t="shared" si="115"/>
        <v>8.9342814248142624</v>
      </c>
      <c r="P191">
        <f t="shared" si="116"/>
        <v>1.4586328737620131</v>
      </c>
      <c r="Q191">
        <f t="shared" si="117"/>
        <v>9.3949514522031699</v>
      </c>
      <c r="R191">
        <f t="shared" si="118"/>
        <v>1.4641541639149165</v>
      </c>
      <c r="S191">
        <f t="shared" si="119"/>
        <v>0.99980930680903346</v>
      </c>
      <c r="T191">
        <f t="shared" si="120"/>
        <v>-1.9529426613378472E-2</v>
      </c>
      <c r="U191">
        <f t="shared" si="121"/>
        <v>0.90597336573913956</v>
      </c>
      <c r="V191">
        <f t="shared" si="122"/>
        <v>-0.43712295100988413</v>
      </c>
      <c r="X191">
        <f t="shared" si="139"/>
        <v>-11.400684792790411</v>
      </c>
      <c r="Y191">
        <f t="shared" si="123"/>
        <v>-120.75662670490419</v>
      </c>
      <c r="Z191">
        <f t="shared" si="140"/>
        <v>59.243373295095807</v>
      </c>
      <c r="AC191">
        <v>1</v>
      </c>
      <c r="AD191">
        <f t="shared" si="124"/>
        <v>8.8781408289000012</v>
      </c>
      <c r="AE191">
        <f t="shared" si="125"/>
        <v>-4.3789658098767328E-3</v>
      </c>
      <c r="AF191">
        <f t="shared" si="126"/>
        <v>9.37137087495E-3</v>
      </c>
      <c r="AG191">
        <f t="shared" si="141"/>
        <v>736.66268026288185</v>
      </c>
      <c r="AH191">
        <f t="shared" si="142"/>
        <v>-450.92876449688708</v>
      </c>
      <c r="AJ191">
        <f t="shared" si="127"/>
        <v>10500</v>
      </c>
      <c r="AK191">
        <f t="shared" si="128"/>
        <v>205.08505314759003</v>
      </c>
      <c r="AL191">
        <v>1</v>
      </c>
      <c r="AM191">
        <f t="shared" si="129"/>
        <v>9.3415797801685816</v>
      </c>
      <c r="AN191">
        <f t="shared" si="143"/>
        <v>140.66507132147282</v>
      </c>
      <c r="AO191">
        <f t="shared" si="144"/>
        <v>-1108.948932885052</v>
      </c>
      <c r="AQ191">
        <f t="shared" si="130"/>
        <v>0.40567951318458417</v>
      </c>
      <c r="AR191">
        <f t="shared" si="131"/>
        <v>-63.691683569979716</v>
      </c>
      <c r="AT191">
        <f t="shared" si="156"/>
        <v>-28421.56322342734</v>
      </c>
      <c r="AU191">
        <f t="shared" si="157"/>
        <v>-47102.21889077864</v>
      </c>
      <c r="AV191">
        <f t="shared" si="145"/>
        <v>-2.1137133902190008</v>
      </c>
      <c r="AW191">
        <f t="shared" si="146"/>
        <v>-69894.648971209754</v>
      </c>
      <c r="AX191">
        <f t="shared" si="147"/>
        <v>-11409.126382573499</v>
      </c>
      <c r="AY191">
        <f t="shared" si="155"/>
        <v>-2.9797865066394555</v>
      </c>
      <c r="BA191">
        <f t="shared" si="132"/>
        <v>0.77680029066739598</v>
      </c>
      <c r="BB191">
        <f t="shared" si="148"/>
        <v>-2.1938124118665687</v>
      </c>
      <c r="BC191">
        <f t="shared" si="149"/>
        <v>0.8660731164204547</v>
      </c>
      <c r="BD191">
        <f t="shared" si="133"/>
        <v>-130.37766562266376</v>
      </c>
      <c r="BF191">
        <f t="shared" si="134"/>
        <v>-11.354384191956656</v>
      </c>
      <c r="BG191">
        <f t="shared" si="135"/>
        <v>-122.43340022103085</v>
      </c>
      <c r="BH191">
        <f t="shared" si="150"/>
        <v>57.566599778969149</v>
      </c>
      <c r="BI191">
        <f t="shared" si="151"/>
        <v>57.566599778969149</v>
      </c>
      <c r="BJ191">
        <f t="shared" si="136"/>
        <v>0</v>
      </c>
      <c r="BK191">
        <f t="shared" si="152"/>
        <v>0</v>
      </c>
      <c r="BM191">
        <f t="shared" si="153"/>
        <v>-9.1605717800900894</v>
      </c>
      <c r="BN191">
        <f t="shared" si="137"/>
        <v>-172.05573459836708</v>
      </c>
      <c r="BQ191" s="56">
        <f t="shared" si="154"/>
        <v>14.70814838841857</v>
      </c>
      <c r="BR191" s="59"/>
      <c r="BS191" s="59"/>
      <c r="BT191" s="59">
        <v>6456.5420000000004</v>
      </c>
      <c r="BU191" s="59">
        <v>0.12767600000000001</v>
      </c>
      <c r="BV191" s="59">
        <v>-230.779</v>
      </c>
      <c r="BW191" s="61"/>
      <c r="BY191" s="59"/>
      <c r="BZ191" s="59"/>
      <c r="CA191" s="59"/>
      <c r="CC191" s="59"/>
    </row>
    <row r="192" spans="1:81" x14ac:dyDescent="0.2">
      <c r="A192">
        <f t="shared" si="158"/>
        <v>79000</v>
      </c>
      <c r="B192">
        <f t="shared" si="138"/>
        <v>79</v>
      </c>
      <c r="C192">
        <f t="shared" si="107"/>
        <v>1.0012311661335045</v>
      </c>
      <c r="D192">
        <f t="shared" si="108"/>
        <v>4.9596457886169738E-2</v>
      </c>
      <c r="F192">
        <f t="shared" si="109"/>
        <v>2.289445818743437E-2</v>
      </c>
      <c r="G192">
        <f t="shared" si="110"/>
        <v>8.8781396310366245E-2</v>
      </c>
      <c r="H192">
        <f t="shared" si="111"/>
        <v>-3.0528112536896339</v>
      </c>
      <c r="J192">
        <f t="shared" si="112"/>
        <v>15</v>
      </c>
      <c r="M192">
        <f t="shared" si="113"/>
        <v>1.0098343534390177E-2</v>
      </c>
      <c r="N192">
        <f t="shared" si="114"/>
        <v>-1.5707963250000001</v>
      </c>
      <c r="O192">
        <f t="shared" si="115"/>
        <v>8.9904769840456371</v>
      </c>
      <c r="P192">
        <f t="shared" si="116"/>
        <v>1.4593368857448399</v>
      </c>
      <c r="Q192">
        <f t="shared" si="117"/>
        <v>9.4541160658988233</v>
      </c>
      <c r="R192">
        <f t="shared" si="118"/>
        <v>1.4648240566026824</v>
      </c>
      <c r="S192">
        <f t="shared" si="119"/>
        <v>0.99980687056598838</v>
      </c>
      <c r="T192">
        <f t="shared" si="120"/>
        <v>-1.9653785936972968E-2</v>
      </c>
      <c r="U192">
        <f t="shared" si="121"/>
        <v>0.90493770095758852</v>
      </c>
      <c r="V192">
        <f t="shared" si="122"/>
        <v>-0.4395630268196099</v>
      </c>
      <c r="X192">
        <f t="shared" si="139"/>
        <v>-11.469108163536436</v>
      </c>
      <c r="Y192">
        <f t="shared" si="123"/>
        <v>-120.84063744491333</v>
      </c>
      <c r="Z192">
        <f t="shared" si="140"/>
        <v>59.159362555086673</v>
      </c>
      <c r="AC192">
        <v>1</v>
      </c>
      <c r="AD192">
        <f t="shared" si="124"/>
        <v>8.9346894966000008</v>
      </c>
      <c r="AE192">
        <f t="shared" si="125"/>
        <v>-4.4349264667030213E-3</v>
      </c>
      <c r="AF192">
        <f t="shared" si="126"/>
        <v>9.4310611352999996E-3</v>
      </c>
      <c r="AG192">
        <f t="shared" si="141"/>
        <v>734.97940888384335</v>
      </c>
      <c r="AH192">
        <f t="shared" si="142"/>
        <v>-451.65433367803126</v>
      </c>
      <c r="AJ192">
        <f t="shared" si="127"/>
        <v>10500</v>
      </c>
      <c r="AK192">
        <f t="shared" si="128"/>
        <v>206.39132737145999</v>
      </c>
      <c r="AL192">
        <v>1</v>
      </c>
      <c r="AM192">
        <f t="shared" si="129"/>
        <v>9.4010802883225217</v>
      </c>
      <c r="AN192">
        <f t="shared" si="143"/>
        <v>139.18391374637116</v>
      </c>
      <c r="AO192">
        <f t="shared" si="144"/>
        <v>-1102.0878206011319</v>
      </c>
      <c r="AQ192">
        <f t="shared" si="130"/>
        <v>0.40056078509913878</v>
      </c>
      <c r="AR192">
        <f t="shared" si="131"/>
        <v>-63.288604045663931</v>
      </c>
      <c r="AT192">
        <f t="shared" si="156"/>
        <v>-28290.168360602882</v>
      </c>
      <c r="AU192">
        <f t="shared" si="157"/>
        <v>-46696.735805057193</v>
      </c>
      <c r="AV192">
        <f t="shared" si="145"/>
        <v>-2.1154897652483613</v>
      </c>
      <c r="AW192">
        <f t="shared" si="146"/>
        <v>-69017.417475988521</v>
      </c>
      <c r="AX192">
        <f t="shared" si="147"/>
        <v>-11240.388359939938</v>
      </c>
      <c r="AY192">
        <f t="shared" si="155"/>
        <v>-2.980147041950493</v>
      </c>
      <c r="BA192">
        <f t="shared" si="132"/>
        <v>0.78078548587578733</v>
      </c>
      <c r="BB192">
        <f t="shared" si="148"/>
        <v>-2.1493653684728415</v>
      </c>
      <c r="BC192">
        <f t="shared" si="149"/>
        <v>0.86465727670213166</v>
      </c>
      <c r="BD192">
        <f t="shared" si="133"/>
        <v>-130.45878726308337</v>
      </c>
      <c r="BF192">
        <f t="shared" si="134"/>
        <v>-11.422245589348201</v>
      </c>
      <c r="BG192">
        <f t="shared" si="135"/>
        <v>-122.53032023048559</v>
      </c>
      <c r="BH192">
        <f t="shared" si="150"/>
        <v>57.469679769514414</v>
      </c>
      <c r="BI192">
        <f t="shared" si="151"/>
        <v>57.469679769514414</v>
      </c>
      <c r="BJ192">
        <f t="shared" si="136"/>
        <v>0</v>
      </c>
      <c r="BK192">
        <f t="shared" si="152"/>
        <v>0</v>
      </c>
      <c r="BM192">
        <f t="shared" si="153"/>
        <v>-9.2728802208753596</v>
      </c>
      <c r="BN192">
        <f t="shared" si="137"/>
        <v>-172.07153296740225</v>
      </c>
      <c r="BQ192" s="56">
        <f t="shared" si="154"/>
        <v>14.752595431812294</v>
      </c>
      <c r="BR192" s="59"/>
      <c r="BS192" s="59"/>
      <c r="BT192" s="59">
        <v>6606.9340000000002</v>
      </c>
      <c r="BU192" s="59">
        <v>3.6938100000000001E-2</v>
      </c>
      <c r="BV192" s="59">
        <v>-229.60900000000001</v>
      </c>
      <c r="BW192" s="61"/>
      <c r="BY192" s="59"/>
      <c r="BZ192" s="59"/>
      <c r="CA192" s="59"/>
      <c r="CC192" s="59"/>
    </row>
    <row r="193" spans="1:81" x14ac:dyDescent="0.2">
      <c r="A193">
        <f t="shared" si="158"/>
        <v>79500</v>
      </c>
      <c r="B193">
        <f t="shared" si="138"/>
        <v>79.5</v>
      </c>
      <c r="C193">
        <f t="shared" si="107"/>
        <v>1.0012467900986934</v>
      </c>
      <c r="D193">
        <f t="shared" si="108"/>
        <v>4.9909840127789699E-2</v>
      </c>
      <c r="F193">
        <f t="shared" si="109"/>
        <v>2.2601904721476388E-2</v>
      </c>
      <c r="G193">
        <f t="shared" si="110"/>
        <v>8.8200130573795846E-2</v>
      </c>
      <c r="H193">
        <f t="shared" si="111"/>
        <v>-3.0533925194262044</v>
      </c>
      <c r="J193">
        <f t="shared" si="112"/>
        <v>15</v>
      </c>
      <c r="M193">
        <f t="shared" si="113"/>
        <v>1.0034831939834265E-2</v>
      </c>
      <c r="N193">
        <f t="shared" si="114"/>
        <v>-1.5707963250000001</v>
      </c>
      <c r="O193">
        <f t="shared" si="115"/>
        <v>9.0466769438929795</v>
      </c>
      <c r="P193">
        <f t="shared" si="116"/>
        <v>1.4600321511121339</v>
      </c>
      <c r="Q193">
        <f t="shared" si="117"/>
        <v>9.5132848694159886</v>
      </c>
      <c r="R193">
        <f t="shared" si="118"/>
        <v>1.4654856166583834</v>
      </c>
      <c r="S193">
        <f t="shared" si="119"/>
        <v>0.99980441887271254</v>
      </c>
      <c r="T193">
        <f t="shared" si="120"/>
        <v>-1.9778144652591069E-2</v>
      </c>
      <c r="U193">
        <f t="shared" si="121"/>
        <v>0.90389903796809568</v>
      </c>
      <c r="V193">
        <f t="shared" si="122"/>
        <v>-0.44199751579067353</v>
      </c>
      <c r="X193">
        <f t="shared" si="139"/>
        <v>-11.537158024594955</v>
      </c>
      <c r="Y193">
        <f t="shared" si="123"/>
        <v>-120.92485684126143</v>
      </c>
      <c r="Z193">
        <f t="shared" si="140"/>
        <v>59.07514315873857</v>
      </c>
      <c r="AC193">
        <v>1</v>
      </c>
      <c r="AD193">
        <f t="shared" si="124"/>
        <v>8.9912381643000003</v>
      </c>
      <c r="AE193">
        <f t="shared" si="125"/>
        <v>-4.4912424292869362E-3</v>
      </c>
      <c r="AF193">
        <f t="shared" si="126"/>
        <v>9.4907513956499993E-3</v>
      </c>
      <c r="AG193">
        <f t="shared" si="141"/>
        <v>733.29319820511409</v>
      </c>
      <c r="AH193">
        <f t="shared" si="142"/>
        <v>-452.37698743791395</v>
      </c>
      <c r="AJ193">
        <f t="shared" si="127"/>
        <v>10500</v>
      </c>
      <c r="AK193">
        <f t="shared" si="128"/>
        <v>207.69760159533001</v>
      </c>
      <c r="AL193">
        <v>1</v>
      </c>
      <c r="AM193">
        <f t="shared" si="129"/>
        <v>9.4605807964764619</v>
      </c>
      <c r="AN193">
        <f t="shared" si="143"/>
        <v>137.73020283662629</v>
      </c>
      <c r="AO193">
        <f t="shared" si="144"/>
        <v>-1095.3101104556647</v>
      </c>
      <c r="AQ193">
        <f t="shared" si="130"/>
        <v>0.39553832766395064</v>
      </c>
      <c r="AR193">
        <f t="shared" si="131"/>
        <v>-62.890594098568151</v>
      </c>
      <c r="AT193">
        <f t="shared" si="156"/>
        <v>-28160.211931185509</v>
      </c>
      <c r="AU193">
        <f t="shared" si="157"/>
        <v>-46296.177320643561</v>
      </c>
      <c r="AV193">
        <f t="shared" si="145"/>
        <v>-2.1172687930156258</v>
      </c>
      <c r="AW193">
        <f t="shared" si="146"/>
        <v>-68156.450827159861</v>
      </c>
      <c r="AX193">
        <f t="shared" si="147"/>
        <v>-11075.603223048791</v>
      </c>
      <c r="AY193">
        <f t="shared" si="155"/>
        <v>-2.9804981765348115</v>
      </c>
      <c r="BA193">
        <f t="shared" si="132"/>
        <v>0.78475827294930434</v>
      </c>
      <c r="BB193">
        <f t="shared" si="148"/>
        <v>-2.1052819451217979</v>
      </c>
      <c r="BC193">
        <f t="shared" si="149"/>
        <v>0.86322938351918577</v>
      </c>
      <c r="BD193">
        <f t="shared" si="133"/>
        <v>-130.54059951615514</v>
      </c>
      <c r="BF193">
        <f t="shared" si="134"/>
        <v>-11.489733231874894</v>
      </c>
      <c r="BG193">
        <f t="shared" si="135"/>
        <v>-122.62748107723679</v>
      </c>
      <c r="BH193">
        <f t="shared" si="150"/>
        <v>57.372518922763206</v>
      </c>
      <c r="BI193">
        <f t="shared" si="151"/>
        <v>57.372518922763206</v>
      </c>
      <c r="BJ193">
        <f t="shared" si="136"/>
        <v>0</v>
      </c>
      <c r="BK193">
        <f t="shared" si="152"/>
        <v>0</v>
      </c>
      <c r="BM193">
        <f t="shared" si="153"/>
        <v>-9.384451286753098</v>
      </c>
      <c r="BN193">
        <f t="shared" si="137"/>
        <v>-172.08688156108167</v>
      </c>
      <c r="BQ193" s="56">
        <f t="shared" si="154"/>
        <v>14.796678855163339</v>
      </c>
      <c r="BR193" s="59"/>
      <c r="BS193" s="59"/>
      <c r="BT193" s="59">
        <v>6760.83</v>
      </c>
      <c r="BU193" s="59">
        <v>-4.9019100000000003E-2</v>
      </c>
      <c r="BV193" s="59">
        <v>-229.1</v>
      </c>
      <c r="BW193" s="61"/>
      <c r="BY193" s="59"/>
      <c r="BZ193" s="59"/>
      <c r="CA193" s="59"/>
      <c r="CC193" s="59"/>
    </row>
    <row r="194" spans="1:81" x14ac:dyDescent="0.2">
      <c r="A194">
        <f t="shared" si="158"/>
        <v>80000</v>
      </c>
      <c r="B194">
        <f t="shared" si="138"/>
        <v>80</v>
      </c>
      <c r="C194">
        <f t="shared" si="107"/>
        <v>1.0012625123916827</v>
      </c>
      <c r="D194">
        <f t="shared" si="108"/>
        <v>5.0223212558435155E-2</v>
      </c>
      <c r="F194">
        <f t="shared" si="109"/>
        <v>2.2314956694183239E-2</v>
      </c>
      <c r="G194">
        <f t="shared" si="110"/>
        <v>8.7626565821440197E-2</v>
      </c>
      <c r="H194">
        <f t="shared" si="111"/>
        <v>-3.0539660841785601</v>
      </c>
      <c r="J194">
        <f t="shared" si="112"/>
        <v>15</v>
      </c>
      <c r="M194">
        <f t="shared" si="113"/>
        <v>9.9721142402103002E-3</v>
      </c>
      <c r="N194">
        <f t="shared" si="114"/>
        <v>-1.5707963250000001</v>
      </c>
      <c r="O194">
        <f t="shared" si="115"/>
        <v>9.1028812228498612</v>
      </c>
      <c r="P194">
        <f t="shared" si="116"/>
        <v>1.4607188311991388</v>
      </c>
      <c r="Q194">
        <f t="shared" si="117"/>
        <v>9.5724577850609123</v>
      </c>
      <c r="R194">
        <f t="shared" si="118"/>
        <v>1.4661389980240038</v>
      </c>
      <c r="S194">
        <f t="shared" si="119"/>
        <v>0.99980195172954733</v>
      </c>
      <c r="T194">
        <f t="shared" si="120"/>
        <v>-1.9902502756390827E-2</v>
      </c>
      <c r="U194">
        <f t="shared" si="121"/>
        <v>0.90285742395390611</v>
      </c>
      <c r="V194">
        <f t="shared" si="122"/>
        <v>-0.44442640833074809</v>
      </c>
      <c r="X194">
        <f t="shared" si="139"/>
        <v>-11.604840034078199</v>
      </c>
      <c r="Y194">
        <f t="shared" si="123"/>
        <v>-121.00927538366308</v>
      </c>
      <c r="Z194">
        <f t="shared" si="140"/>
        <v>58.990724616336919</v>
      </c>
      <c r="AC194">
        <v>1</v>
      </c>
      <c r="AD194">
        <f t="shared" si="124"/>
        <v>9.0477868319999999</v>
      </c>
      <c r="AE194">
        <f t="shared" si="125"/>
        <v>-4.5479136976284791E-3</v>
      </c>
      <c r="AF194">
        <f t="shared" si="126"/>
        <v>9.5504416560000006E-3</v>
      </c>
      <c r="AG194">
        <f t="shared" si="141"/>
        <v>731.6041414635273</v>
      </c>
      <c r="AH194">
        <f t="shared" si="142"/>
        <v>-453.09658464696446</v>
      </c>
      <c r="AJ194">
        <f t="shared" si="127"/>
        <v>10500</v>
      </c>
      <c r="AK194">
        <f t="shared" si="128"/>
        <v>209.00387581920003</v>
      </c>
      <c r="AL194">
        <v>1</v>
      </c>
      <c r="AM194">
        <f t="shared" si="129"/>
        <v>9.5200813046304003</v>
      </c>
      <c r="AN194">
        <f t="shared" si="143"/>
        <v>136.3032671138489</v>
      </c>
      <c r="AO194">
        <f t="shared" si="144"/>
        <v>-1088.6143091913964</v>
      </c>
      <c r="AQ194">
        <f t="shared" si="130"/>
        <v>0.39060974180696068</v>
      </c>
      <c r="AR194">
        <f t="shared" si="131"/>
        <v>-62.49755868911371</v>
      </c>
      <c r="AT194">
        <f t="shared" si="156"/>
        <v>-28031.658686008665</v>
      </c>
      <c r="AU194">
        <f t="shared" si="157"/>
        <v>-45900.456708258018</v>
      </c>
      <c r="AV194">
        <f t="shared" si="145"/>
        <v>-2.1190503120997035</v>
      </c>
      <c r="AW194">
        <f t="shared" si="146"/>
        <v>-67311.351581334573</v>
      </c>
      <c r="AX194">
        <f t="shared" si="147"/>
        <v>-10914.652324977886</v>
      </c>
      <c r="AY194">
        <f t="shared" si="155"/>
        <v>-2.9808400746945214</v>
      </c>
      <c r="BA194">
        <f t="shared" si="132"/>
        <v>0.78871862289652306</v>
      </c>
      <c r="BB194">
        <f t="shared" si="148"/>
        <v>-2.0615580934398587</v>
      </c>
      <c r="BC194">
        <f t="shared" si="149"/>
        <v>0.86178976259481788</v>
      </c>
      <c r="BD194">
        <f t="shared" si="133"/>
        <v>-130.62308371931439</v>
      </c>
      <c r="BF194">
        <f t="shared" si="134"/>
        <v>-11.556852818426922</v>
      </c>
      <c r="BG194">
        <f t="shared" si="135"/>
        <v>-122.72487320230877</v>
      </c>
      <c r="BH194">
        <f t="shared" si="150"/>
        <v>57.275126797691229</v>
      </c>
      <c r="BI194">
        <f t="shared" si="151"/>
        <v>57.275126797691229</v>
      </c>
      <c r="BJ194">
        <f t="shared" si="136"/>
        <v>0</v>
      </c>
      <c r="BK194">
        <f t="shared" si="152"/>
        <v>0</v>
      </c>
      <c r="BM194">
        <f t="shared" si="153"/>
        <v>-9.4952947249870654</v>
      </c>
      <c r="BN194">
        <f t="shared" si="137"/>
        <v>-172.10178948299438</v>
      </c>
      <c r="BQ194" s="56">
        <f t="shared" si="154"/>
        <v>14.840402706845277</v>
      </c>
      <c r="BR194" s="59"/>
      <c r="BS194" s="59"/>
      <c r="BT194" s="59">
        <v>6918.31</v>
      </c>
      <c r="BU194" s="59">
        <v>-0.21798300000000001</v>
      </c>
      <c r="BV194" s="59">
        <v>-228.376</v>
      </c>
      <c r="BW194" s="61"/>
      <c r="BY194" s="59"/>
      <c r="BZ194" s="59"/>
      <c r="CA194" s="59"/>
      <c r="CC194" s="59"/>
    </row>
    <row r="195" spans="1:81" x14ac:dyDescent="0.2">
      <c r="A195">
        <f t="shared" si="158"/>
        <v>80500</v>
      </c>
      <c r="B195">
        <f t="shared" si="138"/>
        <v>80.5</v>
      </c>
      <c r="C195">
        <f t="shared" si="107"/>
        <v>1.0012783330078403</v>
      </c>
      <c r="D195">
        <f t="shared" si="108"/>
        <v>5.0536575117021955E-2</v>
      </c>
      <c r="F195">
        <f t="shared" si="109"/>
        <v>2.2033470992465526E-2</v>
      </c>
      <c r="G195">
        <f t="shared" si="110"/>
        <v>8.7060547537334693E-2</v>
      </c>
      <c r="H195">
        <f t="shared" si="111"/>
        <v>-3.0545321024626655</v>
      </c>
      <c r="J195">
        <f t="shared" si="112"/>
        <v>15</v>
      </c>
      <c r="M195">
        <f t="shared" si="113"/>
        <v>9.9101756424450176E-3</v>
      </c>
      <c r="N195">
        <f t="shared" si="114"/>
        <v>-1.5707963250000001</v>
      </c>
      <c r="O195">
        <f t="shared" si="115"/>
        <v>9.1590897414043084</v>
      </c>
      <c r="P195">
        <f t="shared" si="116"/>
        <v>1.4613970834135421</v>
      </c>
      <c r="Q195">
        <f t="shared" si="117"/>
        <v>9.631634737043786</v>
      </c>
      <c r="R195">
        <f t="shared" si="118"/>
        <v>1.466784350886567</v>
      </c>
      <c r="S195">
        <f t="shared" si="119"/>
        <v>0.99979946913683593</v>
      </c>
      <c r="T195">
        <f t="shared" si="120"/>
        <v>-2.00268602445304E-2</v>
      </c>
      <c r="U195">
        <f t="shared" si="121"/>
        <v>0.90181290591117358</v>
      </c>
      <c r="V195">
        <f t="shared" si="122"/>
        <v>-0.4468496951556844</v>
      </c>
      <c r="X195">
        <f t="shared" si="139"/>
        <v>-11.67215971872524</v>
      </c>
      <c r="Y195">
        <f t="shared" si="123"/>
        <v>-121.09388377268922</v>
      </c>
      <c r="Z195">
        <f t="shared" si="140"/>
        <v>58.906116227310775</v>
      </c>
      <c r="AC195">
        <v>1</v>
      </c>
      <c r="AD195">
        <f t="shared" si="124"/>
        <v>9.1043354997000012</v>
      </c>
      <c r="AE195">
        <f t="shared" si="125"/>
        <v>-4.6049402717276483E-3</v>
      </c>
      <c r="AF195">
        <f t="shared" si="126"/>
        <v>9.6101319163500003E-3</v>
      </c>
      <c r="AG195">
        <f t="shared" si="141"/>
        <v>729.91233128758324</v>
      </c>
      <c r="AH195">
        <f t="shared" si="142"/>
        <v>-453.81298895147967</v>
      </c>
      <c r="AJ195">
        <f t="shared" si="127"/>
        <v>10500</v>
      </c>
      <c r="AK195">
        <f t="shared" si="128"/>
        <v>210.31015004307005</v>
      </c>
      <c r="AL195">
        <v>1</v>
      </c>
      <c r="AM195">
        <f t="shared" si="129"/>
        <v>9.5795818127843404</v>
      </c>
      <c r="AN195">
        <f t="shared" si="143"/>
        <v>134.90245543353831</v>
      </c>
      <c r="AO195">
        <f t="shared" si="144"/>
        <v>-1081.9989585280036</v>
      </c>
      <c r="AQ195">
        <f t="shared" si="130"/>
        <v>0.38577270272355529</v>
      </c>
      <c r="AR195">
        <f t="shared" si="131"/>
        <v>-62.109405138492399</v>
      </c>
      <c r="AT195">
        <f t="shared" si="156"/>
        <v>-27904.474535105564</v>
      </c>
      <c r="AU195">
        <f t="shared" si="157"/>
        <v>-45509.48936280085</v>
      </c>
      <c r="AV195">
        <f t="shared" si="145"/>
        <v>-2.1208341650790694</v>
      </c>
      <c r="AW195">
        <f t="shared" si="146"/>
        <v>-66481.734310919885</v>
      </c>
      <c r="AX195">
        <f t="shared" si="147"/>
        <v>-10757.421303147499</v>
      </c>
      <c r="AY195">
        <f t="shared" si="155"/>
        <v>-2.9811728967824589</v>
      </c>
      <c r="BA195">
        <f t="shared" si="132"/>
        <v>0.7926665079010472</v>
      </c>
      <c r="BB195">
        <f t="shared" si="148"/>
        <v>-2.018189828463242</v>
      </c>
      <c r="BC195">
        <f t="shared" si="149"/>
        <v>0.86033873170338948</v>
      </c>
      <c r="BD195">
        <f t="shared" si="133"/>
        <v>-130.70622166543134</v>
      </c>
      <c r="BF195">
        <f t="shared" si="134"/>
        <v>-11.623609916275374</v>
      </c>
      <c r="BG195">
        <f t="shared" si="135"/>
        <v>-122.8224872551843</v>
      </c>
      <c r="BH195">
        <f t="shared" si="150"/>
        <v>57.177512744815701</v>
      </c>
      <c r="BI195">
        <f t="shared" si="151"/>
        <v>57.177512744815701</v>
      </c>
      <c r="BJ195">
        <f t="shared" si="136"/>
        <v>0</v>
      </c>
      <c r="BK195">
        <f t="shared" si="152"/>
        <v>0</v>
      </c>
      <c r="BM195">
        <f t="shared" si="153"/>
        <v>-9.6054200878121314</v>
      </c>
      <c r="BN195">
        <f t="shared" si="137"/>
        <v>-172.11626558975294</v>
      </c>
      <c r="BQ195" s="56">
        <f t="shared" si="154"/>
        <v>14.883770971821894</v>
      </c>
      <c r="BR195" s="59"/>
      <c r="BS195" s="59"/>
      <c r="BT195" s="59">
        <v>7079.4579999999996</v>
      </c>
      <c r="BU195" s="59">
        <v>-0.38401400000000002</v>
      </c>
      <c r="BV195" s="59">
        <v>-227.04400000000001</v>
      </c>
      <c r="BW195" s="61"/>
      <c r="BY195" s="59"/>
      <c r="BZ195" s="59"/>
      <c r="CA195" s="59"/>
      <c r="CC195" s="59"/>
    </row>
    <row r="196" spans="1:81" x14ac:dyDescent="0.2">
      <c r="A196">
        <f t="shared" si="158"/>
        <v>81000</v>
      </c>
      <c r="B196">
        <f t="shared" si="138"/>
        <v>81</v>
      </c>
      <c r="C196">
        <f t="shared" si="107"/>
        <v>1.0012942519425059</v>
      </c>
      <c r="D196">
        <f t="shared" si="108"/>
        <v>5.0849927742477562E-2</v>
      </c>
      <c r="F196">
        <f t="shared" si="109"/>
        <v>2.1757309066307493E-2</v>
      </c>
      <c r="G196">
        <f t="shared" si="110"/>
        <v>8.6501925369114108E-2</v>
      </c>
      <c r="H196">
        <f t="shared" si="111"/>
        <v>-3.0550907246308863</v>
      </c>
      <c r="J196">
        <f t="shared" si="112"/>
        <v>15</v>
      </c>
      <c r="M196">
        <f t="shared" si="113"/>
        <v>9.8490017187262222E-3</v>
      </c>
      <c r="N196">
        <f t="shared" si="114"/>
        <v>-1.5707963250000001</v>
      </c>
      <c r="O196">
        <f t="shared" si="115"/>
        <v>9.2153024219783468</v>
      </c>
      <c r="P196">
        <f t="shared" si="116"/>
        <v>1.4620670613537825</v>
      </c>
      <c r="Q196">
        <f t="shared" si="117"/>
        <v>9.690815651420932</v>
      </c>
      <c r="R196">
        <f t="shared" si="118"/>
        <v>1.4674218217915098</v>
      </c>
      <c r="S196">
        <f t="shared" si="119"/>
        <v>0.99979697109492371</v>
      </c>
      <c r="T196">
        <f t="shared" si="120"/>
        <v>-2.0151217113168068E-2</v>
      </c>
      <c r="U196">
        <f t="shared" si="121"/>
        <v>0.90076553064548459</v>
      </c>
      <c r="V196">
        <f t="shared" si="122"/>
        <v>-0.44926736728748395</v>
      </c>
      <c r="X196">
        <f t="shared" si="139"/>
        <v>-11.739122477808532</v>
      </c>
      <c r="Y196">
        <f t="shared" si="123"/>
        <v>-121.17867291479632</v>
      </c>
      <c r="Z196">
        <f t="shared" si="140"/>
        <v>58.821327085203677</v>
      </c>
      <c r="AC196">
        <v>1</v>
      </c>
      <c r="AD196">
        <f t="shared" si="124"/>
        <v>9.1608841674000008</v>
      </c>
      <c r="AE196">
        <f t="shared" si="125"/>
        <v>-4.6623221515844455E-3</v>
      </c>
      <c r="AF196">
        <f t="shared" si="126"/>
        <v>9.6698221766999999E-3</v>
      </c>
      <c r="AG196">
        <f t="shared" si="141"/>
        <v>728.21785969110624</v>
      </c>
      <c r="AH196">
        <f t="shared" si="142"/>
        <v>-454.52606863937126</v>
      </c>
      <c r="AJ196">
        <f t="shared" si="127"/>
        <v>10500</v>
      </c>
      <c r="AK196">
        <f t="shared" si="128"/>
        <v>211.61642426694002</v>
      </c>
      <c r="AL196">
        <v>1</v>
      </c>
      <c r="AM196">
        <f t="shared" si="129"/>
        <v>9.6390823209382805</v>
      </c>
      <c r="AN196">
        <f t="shared" si="143"/>
        <v>133.52713625337361</v>
      </c>
      <c r="AO196">
        <f t="shared" si="144"/>
        <v>-1075.4626341584706</v>
      </c>
      <c r="AQ196">
        <f t="shared" si="130"/>
        <v>0.38102495713469231</v>
      </c>
      <c r="AR196">
        <f t="shared" si="131"/>
        <v>-61.726043055820156</v>
      </c>
      <c r="AT196">
        <f t="shared" si="156"/>
        <v>-27778.626504052976</v>
      </c>
      <c r="AU196">
        <f t="shared" si="157"/>
        <v>-45123.192737130346</v>
      </c>
      <c r="AV196">
        <f t="shared" si="145"/>
        <v>-2.1226201984187139</v>
      </c>
      <c r="AW196">
        <f t="shared" si="146"/>
        <v>-65667.225172529521</v>
      </c>
      <c r="AX196">
        <f t="shared" si="147"/>
        <v>-10603.799899335419</v>
      </c>
      <c r="AY196">
        <f t="shared" si="155"/>
        <v>-2.9814967993222754</v>
      </c>
      <c r="BA196">
        <f t="shared" si="132"/>
        <v>0.79660190130351827</v>
      </c>
      <c r="BB196">
        <f t="shared" si="148"/>
        <v>-1.9751732273100902</v>
      </c>
      <c r="BC196">
        <f t="shared" si="149"/>
        <v>0.85887660090356155</v>
      </c>
      <c r="BD196">
        <f t="shared" si="133"/>
        <v>-130.7899955894533</v>
      </c>
      <c r="BF196">
        <f t="shared" si="134"/>
        <v>-11.690009964975875</v>
      </c>
      <c r="BG196">
        <f t="shared" si="135"/>
        <v>-122.92031408886587</v>
      </c>
      <c r="BH196">
        <f t="shared" si="150"/>
        <v>57.079685911134135</v>
      </c>
      <c r="BI196">
        <f t="shared" si="151"/>
        <v>57.079685911134135</v>
      </c>
      <c r="BJ196">
        <f t="shared" si="136"/>
        <v>0</v>
      </c>
      <c r="BK196">
        <f t="shared" si="152"/>
        <v>0</v>
      </c>
      <c r="BM196">
        <f t="shared" si="153"/>
        <v>-9.714836737665788</v>
      </c>
      <c r="BN196">
        <f t="shared" si="137"/>
        <v>-172.13031849941257</v>
      </c>
      <c r="BQ196" s="56">
        <f t="shared" si="154"/>
        <v>14.926787572975046</v>
      </c>
      <c r="BR196" s="59"/>
      <c r="BS196" s="59"/>
      <c r="BT196" s="59">
        <v>7244.36</v>
      </c>
      <c r="BU196" s="59">
        <v>-0.57486000000000004</v>
      </c>
      <c r="BV196" s="59">
        <v>-226.239</v>
      </c>
      <c r="BW196" s="61"/>
      <c r="BY196" s="59"/>
      <c r="BZ196" s="59"/>
      <c r="CA196" s="59"/>
      <c r="CC196" s="59"/>
    </row>
    <row r="197" spans="1:81" x14ac:dyDescent="0.2">
      <c r="A197">
        <f t="shared" si="158"/>
        <v>81500</v>
      </c>
      <c r="B197">
        <f t="shared" si="138"/>
        <v>81.5</v>
      </c>
      <c r="C197">
        <f t="shared" si="107"/>
        <v>1.0013102691909899</v>
      </c>
      <c r="D197">
        <f t="shared" si="108"/>
        <v>5.1163270373741077E-2</v>
      </c>
      <c r="F197">
        <f t="shared" si="109"/>
        <v>2.1486336754395929E-2</v>
      </c>
      <c r="G197">
        <f t="shared" si="110"/>
        <v>8.5950552987096127E-2</v>
      </c>
      <c r="H197">
        <f t="shared" si="111"/>
        <v>-3.0556420970129041</v>
      </c>
      <c r="J197">
        <f t="shared" si="112"/>
        <v>15</v>
      </c>
      <c r="M197">
        <f t="shared" si="113"/>
        <v>9.7885783952984546E-3</v>
      </c>
      <c r="N197">
        <f t="shared" si="114"/>
        <v>-1.5707963250000001</v>
      </c>
      <c r="O197">
        <f t="shared" si="115"/>
        <v>9.2715191888697284</v>
      </c>
      <c r="P197">
        <f t="shared" si="116"/>
        <v>1.4627289149231224</v>
      </c>
      <c r="Q197">
        <f t="shared" si="117"/>
        <v>9.7500004560390909</v>
      </c>
      <c r="R197">
        <f t="shared" si="118"/>
        <v>1.46805155375199</v>
      </c>
      <c r="S197">
        <f t="shared" si="119"/>
        <v>0.99979445760415819</v>
      </c>
      <c r="T197">
        <f t="shared" si="120"/>
        <v>-2.0275573358462223E-2</v>
      </c>
      <c r="U197">
        <f t="shared" si="121"/>
        <v>0.89971534476845949</v>
      </c>
      <c r="V197">
        <f t="shared" si="122"/>
        <v>-0.45167941605224976</v>
      </c>
      <c r="X197">
        <f t="shared" si="139"/>
        <v>-11.805733586898</v>
      </c>
      <c r="Y197">
        <f t="shared" si="123"/>
        <v>-121.26363391748362</v>
      </c>
      <c r="Z197">
        <f t="shared" si="140"/>
        <v>58.736366082516383</v>
      </c>
      <c r="AC197">
        <v>1</v>
      </c>
      <c r="AD197">
        <f t="shared" si="124"/>
        <v>9.2174328351000003</v>
      </c>
      <c r="AE197">
        <f t="shared" si="125"/>
        <v>-4.7200593371988691E-3</v>
      </c>
      <c r="AF197">
        <f t="shared" si="126"/>
        <v>9.7295124370499995E-3</v>
      </c>
      <c r="AG197">
        <f t="shared" si="141"/>
        <v>726.52081806712533</v>
      </c>
      <c r="AH197">
        <f t="shared" si="142"/>
        <v>-455.23569651040418</v>
      </c>
      <c r="AJ197">
        <f t="shared" si="127"/>
        <v>10500</v>
      </c>
      <c r="AK197">
        <f t="shared" si="128"/>
        <v>212.92269849081003</v>
      </c>
      <c r="AL197">
        <v>1</v>
      </c>
      <c r="AM197">
        <f t="shared" si="129"/>
        <v>9.6985828290922207</v>
      </c>
      <c r="AN197">
        <f t="shared" si="143"/>
        <v>132.17669693192352</v>
      </c>
      <c r="AO197">
        <f t="shared" si="144"/>
        <v>-1069.0039447792699</v>
      </c>
      <c r="AQ197">
        <f t="shared" si="130"/>
        <v>0.37636432066240122</v>
      </c>
      <c r="AR197">
        <f t="shared" si="131"/>
        <v>-61.3473842679714</v>
      </c>
      <c r="AT197">
        <f t="shared" si="156"/>
        <v>-27654.082692182448</v>
      </c>
      <c r="AU197">
        <f t="shared" si="157"/>
        <v>-44741.486278303288</v>
      </c>
      <c r="AV197">
        <f t="shared" si="145"/>
        <v>-2.1244082623610447</v>
      </c>
      <c r="AW197">
        <f t="shared" si="146"/>
        <v>-64867.461493298695</v>
      </c>
      <c r="AX197">
        <f t="shared" si="147"/>
        <v>-10453.681788289992</v>
      </c>
      <c r="AY197">
        <f t="shared" si="155"/>
        <v>-2.981811935124187</v>
      </c>
      <c r="BA197">
        <f t="shared" si="132"/>
        <v>0.80052477758401097</v>
      </c>
      <c r="BB197">
        <f t="shared" si="148"/>
        <v>-1.9325044278860781</v>
      </c>
      <c r="BC197">
        <f t="shared" si="149"/>
        <v>0.85740367276314222</v>
      </c>
      <c r="BD197">
        <f t="shared" si="133"/>
        <v>-130.87438815552184</v>
      </c>
      <c r="BF197">
        <f t="shared" si="134"/>
        <v>-11.756058280129803</v>
      </c>
      <c r="BG197">
        <f t="shared" si="135"/>
        <v>-123.01834475506674</v>
      </c>
      <c r="BH197">
        <f t="shared" si="150"/>
        <v>56.981655244933265</v>
      </c>
      <c r="BI197">
        <f t="shared" si="151"/>
        <v>56.981655244933265</v>
      </c>
      <c r="BJ197">
        <f t="shared" si="136"/>
        <v>0</v>
      </c>
      <c r="BK197">
        <f t="shared" si="152"/>
        <v>0</v>
      </c>
      <c r="BM197">
        <f t="shared" si="153"/>
        <v>-9.8235538522437267</v>
      </c>
      <c r="BN197">
        <f t="shared" si="137"/>
        <v>-172.14395659954494</v>
      </c>
      <c r="BQ197" s="56">
        <f t="shared" si="154"/>
        <v>14.969456372399058</v>
      </c>
      <c r="BR197" s="59"/>
      <c r="BS197" s="59"/>
      <c r="BT197" s="59">
        <v>7413.1019999999999</v>
      </c>
      <c r="BU197" s="59">
        <v>-0.73329999999999995</v>
      </c>
      <c r="BV197" s="59">
        <v>-225.834</v>
      </c>
      <c r="BW197" s="61"/>
      <c r="BY197" s="59"/>
      <c r="BZ197" s="59"/>
      <c r="CA197" s="59"/>
      <c r="CC197" s="59"/>
    </row>
    <row r="198" spans="1:81" x14ac:dyDescent="0.2">
      <c r="A198">
        <f t="shared" si="158"/>
        <v>82000</v>
      </c>
      <c r="B198">
        <f t="shared" si="138"/>
        <v>82</v>
      </c>
      <c r="C198">
        <f t="shared" si="107"/>
        <v>1.0013263847485747</v>
      </c>
      <c r="D198">
        <f t="shared" si="108"/>
        <v>5.1476602949763375E-2</v>
      </c>
      <c r="F198">
        <f t="shared" si="109"/>
        <v>2.1220424117510635E-2</v>
      </c>
      <c r="G198">
        <f t="shared" si="110"/>
        <v>8.5406287949102461E-2</v>
      </c>
      <c r="H198">
        <f t="shared" si="111"/>
        <v>-3.0561863620508976</v>
      </c>
      <c r="J198">
        <f t="shared" si="112"/>
        <v>15</v>
      </c>
      <c r="M198">
        <f t="shared" si="113"/>
        <v>9.728891941668585E-3</v>
      </c>
      <c r="N198">
        <f t="shared" si="114"/>
        <v>-1.5707963250000001</v>
      </c>
      <c r="O198">
        <f t="shared" si="115"/>
        <v>9.327739968195754</v>
      </c>
      <c r="P198">
        <f t="shared" si="116"/>
        <v>1.463382790439663</v>
      </c>
      <c r="Q198">
        <f t="shared" si="117"/>
        <v>9.809189080481687</v>
      </c>
      <c r="R198">
        <f t="shared" si="118"/>
        <v>1.4686736863542955</v>
      </c>
      <c r="S198">
        <f t="shared" si="119"/>
        <v>0.99979192866488931</v>
      </c>
      <c r="T198">
        <f t="shared" si="120"/>
        <v>-2.0399928976571374E-2</v>
      </c>
      <c r="U198">
        <f t="shared" si="121"/>
        <v>0.8986623946944341</v>
      </c>
      <c r="V198">
        <f t="shared" si="122"/>
        <v>-0.45408583307811806</v>
      </c>
      <c r="X198">
        <f t="shared" si="139"/>
        <v>-11.871998201488793</v>
      </c>
      <c r="Y198">
        <f t="shared" si="123"/>
        <v>-121.34875808457711</v>
      </c>
      <c r="Z198">
        <f t="shared" si="140"/>
        <v>58.651241915422887</v>
      </c>
      <c r="AC198">
        <v>1</v>
      </c>
      <c r="AD198">
        <f t="shared" si="124"/>
        <v>9.2739815027999999</v>
      </c>
      <c r="AE198">
        <f t="shared" si="125"/>
        <v>-4.7781518285709207E-3</v>
      </c>
      <c r="AF198">
        <f t="shared" si="126"/>
        <v>9.7892026974000009E-3</v>
      </c>
      <c r="AG198">
        <f t="shared" si="141"/>
        <v>724.82129718196916</v>
      </c>
      <c r="AH198">
        <f t="shared" si="142"/>
        <v>-455.94174975073508</v>
      </c>
      <c r="AJ198">
        <f t="shared" si="127"/>
        <v>10500</v>
      </c>
      <c r="AK198">
        <f t="shared" si="128"/>
        <v>214.22897271468005</v>
      </c>
      <c r="AL198">
        <v>1</v>
      </c>
      <c r="AM198">
        <f t="shared" si="129"/>
        <v>9.7580833372461608</v>
      </c>
      <c r="AN198">
        <f t="shared" si="143"/>
        <v>130.85054305634563</v>
      </c>
      <c r="AO198">
        <f t="shared" si="144"/>
        <v>-1062.6215311530575</v>
      </c>
      <c r="AQ198">
        <f t="shared" si="130"/>
        <v>0.37178867531694987</v>
      </c>
      <c r="AR198">
        <f t="shared" si="131"/>
        <v>-60.973342751979771</v>
      </c>
      <c r="AT198">
        <f t="shared" si="156"/>
        <v>-27530.812232568158</v>
      </c>
      <c r="AU198">
        <f t="shared" si="157"/>
        <v>-44364.291366172307</v>
      </c>
      <c r="AV198">
        <f t="shared" si="145"/>
        <v>-2.1261982108205659</v>
      </c>
      <c r="AW198">
        <f t="shared" si="146"/>
        <v>-64082.091374264026</v>
      </c>
      <c r="AX198">
        <f t="shared" si="147"/>
        <v>-10306.964414482103</v>
      </c>
      <c r="AY198">
        <f t="shared" si="155"/>
        <v>-2.9821184533965699</v>
      </c>
      <c r="BA198">
        <f t="shared" si="132"/>
        <v>0.80443511234478093</v>
      </c>
      <c r="BB198">
        <f t="shared" si="148"/>
        <v>-1.8901796276227589</v>
      </c>
      <c r="BC198">
        <f t="shared" si="149"/>
        <v>0.85592024257600396</v>
      </c>
      <c r="BD198">
        <f t="shared" si="133"/>
        <v>-130.95938244454427</v>
      </c>
      <c r="BF198">
        <f t="shared" si="134"/>
        <v>-11.821760057009332</v>
      </c>
      <c r="BG198">
        <f t="shared" si="135"/>
        <v>-123.1165704995278</v>
      </c>
      <c r="BH198">
        <f t="shared" si="150"/>
        <v>56.883429500472204</v>
      </c>
      <c r="BI198">
        <f t="shared" si="151"/>
        <v>56.883429500472204</v>
      </c>
      <c r="BJ198">
        <f t="shared" si="136"/>
        <v>0</v>
      </c>
      <c r="BK198">
        <f t="shared" si="152"/>
        <v>0</v>
      </c>
      <c r="BM198">
        <f t="shared" si="153"/>
        <v>-9.9315804293865746</v>
      </c>
      <c r="BN198">
        <f t="shared" si="137"/>
        <v>-172.15718805498355</v>
      </c>
      <c r="BQ198" s="56">
        <f t="shared" si="154"/>
        <v>15.011781172662378</v>
      </c>
      <c r="BR198" s="59"/>
      <c r="BS198" s="59"/>
      <c r="BT198" s="59">
        <v>7585.7759999999998</v>
      </c>
      <c r="BU198" s="59">
        <v>-0.87090199999999995</v>
      </c>
      <c r="BV198" s="59">
        <v>-224.429</v>
      </c>
      <c r="BW198" s="61"/>
      <c r="BY198" s="59"/>
      <c r="BZ198" s="59"/>
      <c r="CA198" s="59"/>
      <c r="CC198" s="59"/>
    </row>
    <row r="199" spans="1:81" x14ac:dyDescent="0.2">
      <c r="A199">
        <f t="shared" si="158"/>
        <v>82500</v>
      </c>
      <c r="B199">
        <f t="shared" si="138"/>
        <v>82.5</v>
      </c>
      <c r="C199">
        <f t="shared" si="107"/>
        <v>1.0013425986105133</v>
      </c>
      <c r="D199">
        <f t="shared" si="108"/>
        <v>5.1789925409507151E-2</v>
      </c>
      <c r="F199">
        <f t="shared" si="109"/>
        <v>2.095944527928234E-2</v>
      </c>
      <c r="G199">
        <f t="shared" si="110"/>
        <v>8.4868991570745511E-2</v>
      </c>
      <c r="H199">
        <f t="shared" si="111"/>
        <v>-3.0567236584292545</v>
      </c>
      <c r="J199">
        <f t="shared" si="112"/>
        <v>15</v>
      </c>
      <c r="M199">
        <f t="shared" si="113"/>
        <v>9.6699289602039263E-3</v>
      </c>
      <c r="N199">
        <f t="shared" si="114"/>
        <v>-1.5707963250000001</v>
      </c>
      <c r="O199">
        <f t="shared" si="115"/>
        <v>9.383964687839077</v>
      </c>
      <c r="P199">
        <f t="shared" si="116"/>
        <v>1.4640288307424687</v>
      </c>
      <c r="Q199">
        <f t="shared" si="117"/>
        <v>9.8683814560170404</v>
      </c>
      <c r="R199">
        <f t="shared" si="118"/>
        <v>1.4692883558595127</v>
      </c>
      <c r="S199">
        <f t="shared" si="119"/>
        <v>0.99978938427746855</v>
      </c>
      <c r="T199">
        <f t="shared" si="120"/>
        <v>-2.0524283963654136E-2</v>
      </c>
      <c r="U199">
        <f t="shared" si="121"/>
        <v>0.89760672663721508</v>
      </c>
      <c r="V199">
        <f t="shared" si="122"/>
        <v>-0.45648661029317089</v>
      </c>
      <c r="X199">
        <f t="shared" si="139"/>
        <v>-11.937921360498718</v>
      </c>
      <c r="Y199">
        <f t="shared" si="123"/>
        <v>-121.43403691163664</v>
      </c>
      <c r="Z199">
        <f t="shared" si="140"/>
        <v>58.565963088363361</v>
      </c>
      <c r="AC199">
        <v>1</v>
      </c>
      <c r="AD199">
        <f t="shared" si="124"/>
        <v>9.3305301705000012</v>
      </c>
      <c r="AE199">
        <f t="shared" si="125"/>
        <v>-4.8365996257005994E-3</v>
      </c>
      <c r="AF199">
        <f t="shared" si="126"/>
        <v>9.8488929577500006E-3</v>
      </c>
      <c r="AG199">
        <f t="shared" si="141"/>
        <v>723.11938716957866</v>
      </c>
      <c r="AH199">
        <f t="shared" si="142"/>
        <v>-456.6441098115742</v>
      </c>
      <c r="AJ199">
        <f t="shared" si="127"/>
        <v>10500</v>
      </c>
      <c r="AK199">
        <f t="shared" si="128"/>
        <v>215.53524693855002</v>
      </c>
      <c r="AL199">
        <v>1</v>
      </c>
      <c r="AM199">
        <f t="shared" si="129"/>
        <v>9.817583845400101</v>
      </c>
      <c r="AN199">
        <f t="shared" si="143"/>
        <v>129.54809779771747</v>
      </c>
      <c r="AO199">
        <f t="shared" si="144"/>
        <v>-1056.3140652026334</v>
      </c>
      <c r="AQ199">
        <f t="shared" si="130"/>
        <v>0.36729596709028134</v>
      </c>
      <c r="AR199">
        <f t="shared" si="131"/>
        <v>-60.603834569896421</v>
      </c>
      <c r="AT199">
        <f t="shared" si="156"/>
        <v>-27408.785253706075</v>
      </c>
      <c r="AU199">
        <f t="shared" si="157"/>
        <v>-43991.531254239344</v>
      </c>
      <c r="AV199">
        <f t="shared" si="145"/>
        <v>-2.1279899012821852</v>
      </c>
      <c r="AW199">
        <f t="shared" si="146"/>
        <v>-63310.773310011275</v>
      </c>
      <c r="AX199">
        <f t="shared" si="147"/>
        <v>-10163.548836563787</v>
      </c>
      <c r="AY199">
        <f t="shared" si="155"/>
        <v>-2.9824164998535689</v>
      </c>
      <c r="BA199">
        <f t="shared" si="132"/>
        <v>0.80833288229336364</v>
      </c>
      <c r="BB199">
        <f t="shared" si="148"/>
        <v>-1.8481950822475899</v>
      </c>
      <c r="BC199">
        <f t="shared" si="149"/>
        <v>0.8544265985713837</v>
      </c>
      <c r="BD199">
        <f t="shared" si="133"/>
        <v>-131.04496194220181</v>
      </c>
      <c r="BF199">
        <f t="shared" si="134"/>
        <v>-11.887120374052159</v>
      </c>
      <c r="BG199">
        <f t="shared" si="135"/>
        <v>-123.21498275745756</v>
      </c>
      <c r="BH199">
        <f t="shared" si="150"/>
        <v>56.785017242542438</v>
      </c>
      <c r="BI199">
        <f t="shared" si="151"/>
        <v>56.785017242542438</v>
      </c>
      <c r="BJ199">
        <f t="shared" si="136"/>
        <v>0</v>
      </c>
      <c r="BK199">
        <f t="shared" si="152"/>
        <v>0</v>
      </c>
      <c r="BM199">
        <f t="shared" si="153"/>
        <v>-10.038925291804571</v>
      </c>
      <c r="BN199">
        <f t="shared" si="137"/>
        <v>-172.17002081525578</v>
      </c>
      <c r="BQ199" s="56">
        <f t="shared" si="154"/>
        <v>15.053765718037546</v>
      </c>
      <c r="BR199" s="59"/>
      <c r="BS199" s="59"/>
      <c r="BT199" s="59">
        <v>7762.4709999999995</v>
      </c>
      <c r="BU199" s="59">
        <v>-1.0348599999999999</v>
      </c>
      <c r="BV199" s="59">
        <v>-223.255</v>
      </c>
      <c r="BW199" s="61"/>
      <c r="BY199" s="59"/>
      <c r="BZ199" s="59"/>
      <c r="CA199" s="59"/>
      <c r="CC199" s="59"/>
    </row>
    <row r="200" spans="1:81" x14ac:dyDescent="0.2">
      <c r="A200">
        <f t="shared" si="158"/>
        <v>83000</v>
      </c>
      <c r="B200">
        <f t="shared" si="138"/>
        <v>83</v>
      </c>
      <c r="C200">
        <f t="shared" si="107"/>
        <v>1.0013589107720313</v>
      </c>
      <c r="D200">
        <f t="shared" si="108"/>
        <v>5.2103237691946962E-2</v>
      </c>
      <c r="F200">
        <f t="shared" si="109"/>
        <v>2.0703278273946409E-2</v>
      </c>
      <c r="G200">
        <f t="shared" si="110"/>
        <v>8.4338528800921853E-2</v>
      </c>
      <c r="H200">
        <f t="shared" si="111"/>
        <v>-3.0572541211990782</v>
      </c>
      <c r="J200">
        <f t="shared" si="112"/>
        <v>15</v>
      </c>
      <c r="M200">
        <f t="shared" si="113"/>
        <v>9.611676376106314E-3</v>
      </c>
      <c r="N200">
        <f t="shared" si="114"/>
        <v>-1.5707963250000001</v>
      </c>
      <c r="O200">
        <f t="shared" si="115"/>
        <v>9.4401932773954496</v>
      </c>
      <c r="P200">
        <f t="shared" si="116"/>
        <v>1.4646671752939566</v>
      </c>
      <c r="Q200">
        <f t="shared" si="117"/>
        <v>9.9275775155483945</v>
      </c>
      <c r="R200">
        <f t="shared" si="118"/>
        <v>1.4698956953016107</v>
      </c>
      <c r="S200">
        <f t="shared" si="119"/>
        <v>0.99978682444225042</v>
      </c>
      <c r="T200">
        <f t="shared" si="120"/>
        <v>-2.0648638315869262E-2</v>
      </c>
      <c r="U200">
        <f t="shared" si="121"/>
        <v>0.89654838660691527</v>
      </c>
      <c r="V200">
        <f t="shared" si="122"/>
        <v>-0.45888173992332931</v>
      </c>
      <c r="X200">
        <f t="shared" si="139"/>
        <v>-12.003507989640758</v>
      </c>
      <c r="Y200">
        <f t="shared" si="123"/>
        <v>-121.51946208148192</v>
      </c>
      <c r="Z200">
        <f t="shared" si="140"/>
        <v>58.480537918518081</v>
      </c>
      <c r="AC200">
        <v>1</v>
      </c>
      <c r="AD200">
        <f t="shared" si="124"/>
        <v>9.3870788382000008</v>
      </c>
      <c r="AE200">
        <f t="shared" si="125"/>
        <v>-4.8954027285879054E-3</v>
      </c>
      <c r="AF200">
        <f t="shared" si="126"/>
        <v>9.9085832181000002E-3</v>
      </c>
      <c r="AG200">
        <f t="shared" si="141"/>
        <v>721.41517752603295</v>
      </c>
      <c r="AH200">
        <f t="shared" si="142"/>
        <v>-457.3426622917965</v>
      </c>
      <c r="AJ200">
        <f t="shared" si="127"/>
        <v>10500</v>
      </c>
      <c r="AK200">
        <f t="shared" si="128"/>
        <v>216.84152116242004</v>
      </c>
      <c r="AL200">
        <v>1</v>
      </c>
      <c r="AM200">
        <f t="shared" si="129"/>
        <v>9.8770843535540411</v>
      </c>
      <c r="AN200">
        <f t="shared" si="143"/>
        <v>128.26880129271467</v>
      </c>
      <c r="AO200">
        <f t="shared" si="144"/>
        <v>-1050.0802491349846</v>
      </c>
      <c r="AQ200">
        <f t="shared" si="130"/>
        <v>0.36288420365061508</v>
      </c>
      <c r="AR200">
        <f t="shared" si="131"/>
        <v>-60.238777806002105</v>
      </c>
      <c r="AT200">
        <f t="shared" si="156"/>
        <v>-27287.972842802985</v>
      </c>
      <c r="AU200">
        <f t="shared" si="157"/>
        <v>-43623.131012669473</v>
      </c>
      <c r="AV200">
        <f t="shared" si="145"/>
        <v>-2.1297831947029957</v>
      </c>
      <c r="AW200">
        <f t="shared" si="146"/>
        <v>-62553.1758238365</v>
      </c>
      <c r="AX200">
        <f t="shared" si="147"/>
        <v>-10023.339579126685</v>
      </c>
      <c r="AY200">
        <f t="shared" si="155"/>
        <v>-2.9827062168188854</v>
      </c>
      <c r="BA200">
        <f t="shared" si="132"/>
        <v>0.81221806522600049</v>
      </c>
      <c r="BB200">
        <f t="shared" si="148"/>
        <v>-1.8065471045848653</v>
      </c>
      <c r="BC200">
        <f t="shared" si="149"/>
        <v>0.85292302211588966</v>
      </c>
      <c r="BD200">
        <f t="shared" si="133"/>
        <v>-131.13111052737531</v>
      </c>
      <c r="BF200">
        <f t="shared" si="134"/>
        <v>-11.952144196231506</v>
      </c>
      <c r="BG200">
        <f t="shared" si="135"/>
        <v>-123.31357314909158</v>
      </c>
      <c r="BH200">
        <f t="shared" si="150"/>
        <v>56.686426850908418</v>
      </c>
      <c r="BI200">
        <f t="shared" si="151"/>
        <v>56.686426850908418</v>
      </c>
      <c r="BJ200">
        <f t="shared" si="136"/>
        <v>0</v>
      </c>
      <c r="BK200">
        <f t="shared" si="152"/>
        <v>0</v>
      </c>
      <c r="BM200">
        <f t="shared" si="153"/>
        <v>-10.145597091646641</v>
      </c>
      <c r="BN200">
        <f t="shared" si="137"/>
        <v>-172.18246262171627</v>
      </c>
      <c r="BQ200" s="56">
        <f t="shared" si="154"/>
        <v>15.095413695700273</v>
      </c>
      <c r="BR200" s="59"/>
      <c r="BS200" s="59"/>
      <c r="BT200" s="59">
        <v>7943.2820000000002</v>
      </c>
      <c r="BU200" s="59">
        <v>-1.2307999999999999</v>
      </c>
      <c r="BV200" s="59">
        <v>-223.13499999999999</v>
      </c>
      <c r="BW200" s="61"/>
      <c r="BY200" s="59"/>
      <c r="BZ200" s="59"/>
      <c r="CA200" s="59"/>
      <c r="CC200" s="59"/>
    </row>
    <row r="201" spans="1:81" x14ac:dyDescent="0.2">
      <c r="A201">
        <f>A200+500</f>
        <v>83500</v>
      </c>
      <c r="B201">
        <f t="shared" si="138"/>
        <v>83.5</v>
      </c>
      <c r="C201">
        <f t="shared" ref="C201:C264" si="159">SQRT((A201/Fesr)^2+1)</f>
        <v>1.0013753212283241</v>
      </c>
      <c r="D201">
        <f t="shared" ref="D201:D264" si="160">ATAN(A201/Fesr)</f>
        <v>5.2416539736069336E-2</v>
      </c>
      <c r="F201">
        <f t="shared" ref="F201:F264" si="161">(Ro/(Ro+Rdcr))/SQRT((A201/(Q*Fo))^2+(1-(A201^2/Fo^2))^2)</f>
        <v>2.0451804900741936E-2</v>
      </c>
      <c r="G201">
        <f t="shared" ref="G201:G264" si="162">-ATAN(A201*Fo/(Q*(Fo^2-A201^2)))</f>
        <v>8.381476810226908E-2</v>
      </c>
      <c r="H201">
        <f t="shared" ref="H201:H264" si="163">IF(G201&gt;0,G201-Pi,G201)</f>
        <v>-3.057777881897731</v>
      </c>
      <c r="J201">
        <f t="shared" ref="J201:J264" si="164">Vin/Vramp</f>
        <v>15</v>
      </c>
      <c r="M201">
        <f t="shared" ref="M201:M264" si="165">1/(2*Pi*_Rfb1*(Cc1ea_u+Cc2ea_u)*A201)</f>
        <v>9.5541214277463961E-3</v>
      </c>
      <c r="N201">
        <f t="shared" ref="N201:N264" si="166">-Pi/2</f>
        <v>-1.5707963250000001</v>
      </c>
      <c r="O201">
        <f t="shared" ref="O201:O264" si="167">SQRT(1+(A201/Fz1_u)^2)</f>
        <v>9.4964256681232975</v>
      </c>
      <c r="P201">
        <f t="shared" ref="P201:P264" si="168">ATAN2(Fz1_u,A201)</f>
        <v>1.465297960278708</v>
      </c>
      <c r="Q201">
        <f t="shared" ref="Q201:Q264" si="169">SQRT(1+(A201/Fz2_u)^2)</f>
        <v>9.9867771935657093</v>
      </c>
      <c r="R201">
        <f t="shared" ref="R201:R264" si="170">ATAN2(Fz2_u,A201)</f>
        <v>1.4704958345820871</v>
      </c>
      <c r="S201">
        <f t="shared" ref="S201:S264" si="171">1/SQRT(1+(A201/Fp1_u)^2)</f>
        <v>0.99978424915959097</v>
      </c>
      <c r="T201">
        <f t="shared" ref="T201:T264" si="172">-ATAN2(Fp1_u,A201)</f>
        <v>-2.0772992029375603E-2</v>
      </c>
      <c r="U201">
        <f t="shared" ref="U201:U264" si="173">1/SQRT(1+(A201/Fp2_u)^2)</f>
        <v>0.8954874204068648</v>
      </c>
      <c r="V201">
        <f t="shared" ref="V201:V264" si="174">-ATAN2(Fp2_u,A201)</f>
        <v>-0.4612712144902299</v>
      </c>
      <c r="X201">
        <f t="shared" si="139"/>
        <v>-12.068762904676149</v>
      </c>
      <c r="Y201">
        <f t="shared" ref="Y201:Y264" si="175">(180/Pi)*(D201+H201+N201+P201+R201+T201+V201)</f>
        <v>-121.60502545983645</v>
      </c>
      <c r="Z201">
        <f t="shared" si="140"/>
        <v>58.394974540163545</v>
      </c>
      <c r="AC201">
        <v>1</v>
      </c>
      <c r="AD201">
        <f t="shared" ref="AD201:AD264" si="176">Rcea1_u*Cc1ea_u*A201*2*Pi</f>
        <v>9.4436275059000021</v>
      </c>
      <c r="AE201">
        <f t="shared" ref="AE201:AE264" si="177">-Rcea1_u*Cc1ea_u*Cc2ea_u*(A201*2*Pi)^2</f>
        <v>-4.9545611372328385E-3</v>
      </c>
      <c r="AF201">
        <f t="shared" ref="AF201:AF264" si="178">(Cc2ea_u+Cc1ea_u)*A201*2*Pi</f>
        <v>9.9682734784499998E-3</v>
      </c>
      <c r="AG201">
        <f t="shared" si="141"/>
        <v>719.70875710429038</v>
      </c>
      <c r="AH201">
        <f t="shared" si="142"/>
        <v>-458.0372968243467</v>
      </c>
      <c r="AJ201">
        <f t="shared" ref="AJ201:AJ264" si="179">_Rfb1</f>
        <v>10500</v>
      </c>
      <c r="AK201">
        <f t="shared" ref="AK201:AK264" si="180">_Rfb1*Rcea2_u*Cc3ea_u*A201*2*Pi</f>
        <v>218.14779538629003</v>
      </c>
      <c r="AL201">
        <v>1</v>
      </c>
      <c r="AM201">
        <f t="shared" ref="AM201:AM264" si="181">(_Rfb1+Rcea2_u)*Cc3ea_u*A201*2*Pi</f>
        <v>9.9365848617079813</v>
      </c>
      <c r="AN201">
        <f t="shared" si="143"/>
        <v>127.01211005041704</v>
      </c>
      <c r="AO201">
        <f t="shared" si="144"/>
        <v>-1043.9188145942721</v>
      </c>
      <c r="AQ201">
        <f t="shared" ref="AQ201:AQ264" si="182">Eadcg/(1+(Eadcg*A201/GBP)^2)</f>
        <v>0.35855145213338113</v>
      </c>
      <c r="AR201">
        <f t="shared" ref="AR201:AR264" si="183">-(A201*Eadcg*Eadcg/GBP)/(1+(Eadcg*A201/GBP)^2)</f>
        <v>-59.878092506274648</v>
      </c>
      <c r="AT201">
        <f t="shared" si="156"/>
        <v>-27168.347010599355</v>
      </c>
      <c r="AU201">
        <f t="shared" si="157"/>
        <v>-43259.017473374275</v>
      </c>
      <c r="AV201">
        <f t="shared" si="145"/>
        <v>-2.1315779554174021</v>
      </c>
      <c r="AW201">
        <f t="shared" si="146"/>
        <v>-61808.97711770422</v>
      </c>
      <c r="AX201">
        <f t="shared" si="147"/>
        <v>-9886.2444913771978</v>
      </c>
      <c r="AY201">
        <f t="shared" si="155"/>
        <v>-2.9829877433259</v>
      </c>
      <c r="BA201">
        <f t="shared" ref="BA201:BA264" si="184">SQRT(AT201^2+AU201^2)/SQRT(AW201^2+AX201^2)</f>
        <v>0.81609064001138543</v>
      </c>
      <c r="BB201">
        <f t="shared" si="148"/>
        <v>-1.7652320633866279</v>
      </c>
      <c r="BC201">
        <f t="shared" si="149"/>
        <v>0.85140978790849786</v>
      </c>
      <c r="BD201">
        <f t="shared" ref="BD201:BD264" si="185">BC201*180/Pi-180</f>
        <v>-131.21781246097277</v>
      </c>
      <c r="BF201">
        <f t="shared" ref="BF201:BF264" si="186">20*LOG(BA201*J201*F201*C201)</f>
        <v>-12.016836378306632</v>
      </c>
      <c r="BG201">
        <f t="shared" ref="BG201:BG264" si="187">(180/Pi)*(D201+H201+BC201)</f>
        <v>-123.41233347536941</v>
      </c>
      <c r="BH201">
        <f t="shared" si="150"/>
        <v>56.587666524630592</v>
      </c>
      <c r="BI201">
        <f t="shared" si="151"/>
        <v>56.587666524630592</v>
      </c>
      <c r="BJ201">
        <f t="shared" ref="BJ201:BJ264" si="188">SUM((BF202&lt;0)*(BF201&gt;0))*A201</f>
        <v>0</v>
      </c>
      <c r="BK201">
        <f t="shared" si="152"/>
        <v>0</v>
      </c>
      <c r="BM201">
        <f t="shared" si="153"/>
        <v>-10.251604314920007</v>
      </c>
      <c r="BN201">
        <f t="shared" ref="BN201:BN264" si="189">(H201+D201)*180/Pi</f>
        <v>-172.19452101439666</v>
      </c>
      <c r="BQ201" s="56">
        <f t="shared" si="154"/>
        <v>15.136728736898508</v>
      </c>
      <c r="BR201" s="59"/>
      <c r="BS201" s="59"/>
      <c r="BT201" s="59">
        <v>8128.3050000000003</v>
      </c>
      <c r="BU201" s="59">
        <v>-1.3526100000000001</v>
      </c>
      <c r="BV201" s="59">
        <v>-221.982</v>
      </c>
      <c r="BW201" s="61"/>
      <c r="BY201" s="59"/>
      <c r="BZ201" s="59"/>
      <c r="CA201" s="59"/>
      <c r="CC201" s="59"/>
    </row>
    <row r="202" spans="1:81" x14ac:dyDescent="0.2">
      <c r="A202">
        <f t="shared" ref="A202:A234" si="190">A201+500</f>
        <v>84000</v>
      </c>
      <c r="B202">
        <f t="shared" ref="B202:B265" si="191">A202/1000</f>
        <v>84</v>
      </c>
      <c r="C202">
        <f t="shared" si="159"/>
        <v>1.0013918299745597</v>
      </c>
      <c r="D202">
        <f t="shared" si="160"/>
        <v>5.2729831480872839E-2</v>
      </c>
      <c r="F202">
        <f t="shared" si="161"/>
        <v>2.0204910584625164E-2</v>
      </c>
      <c r="G202">
        <f t="shared" si="162"/>
        <v>8.3297581336354745E-2</v>
      </c>
      <c r="H202">
        <f t="shared" si="163"/>
        <v>-3.0582950686636456</v>
      </c>
      <c r="J202">
        <f t="shared" si="164"/>
        <v>15</v>
      </c>
      <c r="M202">
        <f t="shared" si="165"/>
        <v>9.4972516573431434E-3</v>
      </c>
      <c r="N202">
        <f t="shared" si="166"/>
        <v>-1.5707963250000001</v>
      </c>
      <c r="O202">
        <f t="shared" si="167"/>
        <v>9.5526617928950639</v>
      </c>
      <c r="P202">
        <f t="shared" si="168"/>
        <v>1.4659213186988413</v>
      </c>
      <c r="Q202">
        <f t="shared" si="169"/>
        <v>10.045980426099161</v>
      </c>
      <c r="R202">
        <f t="shared" si="170"/>
        <v>1.4710889005613115</v>
      </c>
      <c r="S202">
        <f t="shared" si="171"/>
        <v>0.99978165842984823</v>
      </c>
      <c r="T202">
        <f t="shared" si="172"/>
        <v>-2.089734510033214E-2</v>
      </c>
      <c r="U202">
        <f t="shared" si="173"/>
        <v>0.89442387363059805</v>
      </c>
      <c r="V202">
        <f t="shared" si="174"/>
        <v>-0.46365502680908338</v>
      </c>
      <c r="X202">
        <f t="shared" ref="X202:X265" si="192">20*LOG(C202*J202*O202*Q202*F202*M202*S202*U202)</f>
        <v>-12.133690814552882</v>
      </c>
      <c r="Y202">
        <f t="shared" si="175"/>
        <v>-121.69071909108467</v>
      </c>
      <c r="Z202">
        <f t="shared" ref="Z202:Z265" si="193">Y202+180</f>
        <v>58.309280908915326</v>
      </c>
      <c r="AC202">
        <v>1</v>
      </c>
      <c r="AD202">
        <f t="shared" si="176"/>
        <v>9.5001761735999999</v>
      </c>
      <c r="AE202">
        <f t="shared" si="177"/>
        <v>-5.0140748516353988E-3</v>
      </c>
      <c r="AF202">
        <f t="shared" si="178"/>
        <v>1.0027963738799999E-2</v>
      </c>
      <c r="AG202">
        <f t="shared" ref="AG202:AG265" si="194">AC202*AE202/(AE202^2+AF202^2)+AD202*AF202/(AE202^2+AF202^2)</f>
        <v>718.00021410913553</v>
      </c>
      <c r="AH202">
        <f t="shared" ref="AH202:AH265" si="195">AD202*AE202/(AE202^2+AF202^2)-AC202*AF202/(AE202^2+AF202^2)</f>
        <v>-458.72790696627732</v>
      </c>
      <c r="AJ202">
        <f t="shared" si="179"/>
        <v>10500</v>
      </c>
      <c r="AK202">
        <f t="shared" si="180"/>
        <v>219.45406961016002</v>
      </c>
      <c r="AL202">
        <v>1</v>
      </c>
      <c r="AM202">
        <f t="shared" si="181"/>
        <v>9.9960853698619214</v>
      </c>
      <c r="AN202">
        <f t="shared" ref="AN202:AN265" si="196">AJ202*AL202/(AL202^2+AM202^2)+AK202*AM202/(AL202^2+AM202^2)</f>
        <v>125.7774963830861</v>
      </c>
      <c r="AO202">
        <f t="shared" ref="AO202:AO265" si="197">AK202*AL202/(AL202^2+AM202^2)-AJ202*AM202/(AL202^2+AM202^2)</f>
        <v>-1037.8285218426677</v>
      </c>
      <c r="AQ202">
        <f t="shared" si="182"/>
        <v>0.35429583702391498</v>
      </c>
      <c r="AR202">
        <f t="shared" si="183"/>
        <v>-59.521700620017718</v>
      </c>
      <c r="AT202">
        <f t="shared" si="156"/>
        <v>-27049.880657652953</v>
      </c>
      <c r="AU202">
        <f t="shared" si="157"/>
        <v>-42899.119177077431</v>
      </c>
      <c r="AV202">
        <f t="shared" ref="AV202:AV265" si="198">ATAN2(AT202,AU202)</f>
        <v>-2.1333740510454438</v>
      </c>
      <c r="AW202">
        <f t="shared" ref="AW202:AW265" si="199">AG202-AH202*AO202/_Rfb2+AG202*AN202/_Rfb2+AN202-AO202*AR202+AQ202*AN202</f>
        <v>-61077.86473632355</v>
      </c>
      <c r="AX202">
        <f t="shared" ref="AX202:AX265" si="200">AH202+AH202*AN202/_Rfb2+AG202*AO202/_Rfb2+AO202+AO202*AQ202+AN202*AR202</f>
        <v>-9752.1746123673347</v>
      </c>
      <c r="AY202">
        <f t="shared" si="155"/>
        <v>-2.9832612152142803</v>
      </c>
      <c r="BA202">
        <f t="shared" si="184"/>
        <v>0.81995058657471243</v>
      </c>
      <c r="BB202">
        <f t="shared" ref="BB202:BB265" si="201">20*LOG(BA202)</f>
        <v>-1.7242463821927978</v>
      </c>
      <c r="BC202">
        <f t="shared" ref="BC202:BC265" si="202">AV202-AY202</f>
        <v>0.84988716416883658</v>
      </c>
      <c r="BD202">
        <f t="shared" si="185"/>
        <v>-131.30505237514146</v>
      </c>
      <c r="BF202">
        <f t="shared" si="186"/>
        <v>-12.081201667959011</v>
      </c>
      <c r="BG202">
        <f t="shared" si="187"/>
        <v>-123.51125571372484</v>
      </c>
      <c r="BH202">
        <f t="shared" ref="BH202:BH265" si="203">IF(BG202&gt;180,BG202-180,BG202+180)</f>
        <v>56.488744286275164</v>
      </c>
      <c r="BI202">
        <f t="shared" ref="BI202:BI265" si="204">IF(BH202&gt;180,BH202-360,BH202)</f>
        <v>56.488744286275164</v>
      </c>
      <c r="BJ202">
        <f t="shared" si="188"/>
        <v>0</v>
      </c>
      <c r="BK202">
        <f t="shared" ref="BK202:BK265" si="205">IF(BJ202&gt;0,BI202,0)</f>
        <v>0</v>
      </c>
      <c r="BM202">
        <f t="shared" ref="BM202:BM265" si="206">20*LOG(J202*F202*C202)</f>
        <v>-10.356955285766213</v>
      </c>
      <c r="BN202">
        <f t="shared" si="189"/>
        <v>-172.20620333858341</v>
      </c>
      <c r="BQ202" s="56">
        <f t="shared" ref="BQ202:BQ265" si="207">20*LOG(BA202*7)</f>
        <v>15.177714418092339</v>
      </c>
      <c r="BR202" s="59"/>
      <c r="BS202" s="59"/>
      <c r="BT202" s="59">
        <v>8317.6380000000008</v>
      </c>
      <c r="BU202" s="59">
        <v>-1.29555</v>
      </c>
      <c r="BV202" s="59">
        <v>-220.93199999999999</v>
      </c>
      <c r="BW202" s="61"/>
      <c r="BY202" s="59"/>
      <c r="BZ202" s="59"/>
      <c r="CA202" s="59"/>
      <c r="CC202" s="59"/>
    </row>
    <row r="203" spans="1:81" x14ac:dyDescent="0.2">
      <c r="A203">
        <f t="shared" si="190"/>
        <v>84500</v>
      </c>
      <c r="B203">
        <f t="shared" si="191"/>
        <v>84.5</v>
      </c>
      <c r="C203">
        <f t="shared" si="159"/>
        <v>1.0014084370058769</v>
      </c>
      <c r="D203">
        <f t="shared" si="160"/>
        <v>5.3043112865368107E-2</v>
      </c>
      <c r="F203">
        <f t="shared" si="161"/>
        <v>1.9962484242985034E-2</v>
      </c>
      <c r="G203">
        <f t="shared" si="162"/>
        <v>8.2786843653378711E-2</v>
      </c>
      <c r="H203">
        <f t="shared" si="163"/>
        <v>-3.0588058063466215</v>
      </c>
      <c r="J203">
        <f t="shared" si="164"/>
        <v>15</v>
      </c>
      <c r="M203">
        <f t="shared" si="165"/>
        <v>9.4410549019742478E-3</v>
      </c>
      <c r="N203">
        <f t="shared" si="166"/>
        <v>-1.5707963250000001</v>
      </c>
      <c r="O203">
        <f t="shared" si="167"/>
        <v>9.6089015861502354</v>
      </c>
      <c r="P203">
        <f t="shared" si="168"/>
        <v>1.4665373804660891</v>
      </c>
      <c r="Q203">
        <f t="shared" si="169"/>
        <v>10.105187150674251</v>
      </c>
      <c r="R203">
        <f t="shared" si="170"/>
        <v>1.4716750171467043</v>
      </c>
      <c r="S203">
        <f t="shared" si="171"/>
        <v>0.99977905225338315</v>
      </c>
      <c r="T203">
        <f t="shared" si="172"/>
        <v>-2.1021697524897968E-2</v>
      </c>
      <c r="U203">
        <f t="shared" si="173"/>
        <v>0.89335779165891827</v>
      </c>
      <c r="V203">
        <f t="shared" si="174"/>
        <v>-0.46603316998651723</v>
      </c>
      <c r="X203">
        <f t="shared" si="192"/>
        <v>-12.198296324434565</v>
      </c>
      <c r="Y203">
        <f t="shared" si="175"/>
        <v>-121.77653519414031</v>
      </c>
      <c r="Z203">
        <f t="shared" si="193"/>
        <v>58.223464805859692</v>
      </c>
      <c r="AC203">
        <v>1</v>
      </c>
      <c r="AD203">
        <f t="shared" si="176"/>
        <v>9.5567248413000012</v>
      </c>
      <c r="AE203">
        <f t="shared" si="177"/>
        <v>-5.0739438717955863E-3</v>
      </c>
      <c r="AF203">
        <f t="shared" si="178"/>
        <v>1.0087653999150001E-2</v>
      </c>
      <c r="AG203">
        <f t="shared" si="194"/>
        <v>716.28963609233938</v>
      </c>
      <c r="AH203">
        <f t="shared" si="195"/>
        <v>-459.41439009227696</v>
      </c>
      <c r="AJ203">
        <f t="shared" si="179"/>
        <v>10500</v>
      </c>
      <c r="AK203">
        <f t="shared" si="180"/>
        <v>220.76034383403001</v>
      </c>
      <c r="AL203">
        <v>1</v>
      </c>
      <c r="AM203">
        <f t="shared" si="181"/>
        <v>10.055585878015862</v>
      </c>
      <c r="AN203">
        <f t="shared" si="196"/>
        <v>124.56444785981826</v>
      </c>
      <c r="AO203">
        <f t="shared" si="197"/>
        <v>-1031.8081589680016</v>
      </c>
      <c r="AQ203">
        <f t="shared" si="182"/>
        <v>0.35011553812758212</v>
      </c>
      <c r="AR203">
        <f t="shared" si="183"/>
        <v>-59.169525943561375</v>
      </c>
      <c r="AT203">
        <f t="shared" si="156"/>
        <v>-26932.54754201473</v>
      </c>
      <c r="AU203">
        <f t="shared" si="157"/>
        <v>-42543.366322280526</v>
      </c>
      <c r="AV203">
        <f t="shared" si="198"/>
        <v>-2.1351713524041944</v>
      </c>
      <c r="AW203">
        <f t="shared" si="199"/>
        <v>-60359.535244697792</v>
      </c>
      <c r="AX203">
        <f t="shared" si="200"/>
        <v>-9621.0440424412027</v>
      </c>
      <c r="AY203">
        <f t="shared" ref="AY203:AY266" si="208">ATAN2(AW203,AX203)</f>
        <v>-2.983526765223214</v>
      </c>
      <c r="BA203">
        <f t="shared" si="184"/>
        <v>0.82379788588201741</v>
      </c>
      <c r="BB203">
        <f t="shared" si="201"/>
        <v>-1.6835865382196546</v>
      </c>
      <c r="BC203">
        <f t="shared" si="202"/>
        <v>0.84835541281901961</v>
      </c>
      <c r="BD203">
        <f t="shared" si="185"/>
        <v>-131.39281526284972</v>
      </c>
      <c r="BF203">
        <f t="shared" si="186"/>
        <v>-12.145244708818852</v>
      </c>
      <c r="BG203">
        <f t="shared" si="187"/>
        <v>-123.61033201398726</v>
      </c>
      <c r="BH203">
        <f t="shared" si="203"/>
        <v>56.389667986012739</v>
      </c>
      <c r="BI203">
        <f t="shared" si="204"/>
        <v>56.389667986012739</v>
      </c>
      <c r="BJ203">
        <f t="shared" si="188"/>
        <v>0</v>
      </c>
      <c r="BK203">
        <f t="shared" si="205"/>
        <v>0</v>
      </c>
      <c r="BM203">
        <f t="shared" si="206"/>
        <v>-10.461658170599197</v>
      </c>
      <c r="BN203">
        <f t="shared" si="189"/>
        <v>-172.21751675113754</v>
      </c>
      <c r="BQ203" s="56">
        <f t="shared" si="207"/>
        <v>15.218374262065481</v>
      </c>
      <c r="BR203" s="59"/>
      <c r="BS203" s="59"/>
      <c r="BT203" s="59">
        <v>8511.3799999999992</v>
      </c>
      <c r="BU203" s="59">
        <v>-1.5137499999999999</v>
      </c>
      <c r="BV203" s="59">
        <v>-219.99600000000001</v>
      </c>
      <c r="BW203" s="61"/>
      <c r="BY203" s="59"/>
      <c r="BZ203" s="59"/>
      <c r="CA203" s="59"/>
      <c r="CC203" s="59"/>
    </row>
    <row r="204" spans="1:81" x14ac:dyDescent="0.2">
      <c r="A204">
        <f t="shared" si="190"/>
        <v>85000</v>
      </c>
      <c r="B204">
        <f t="shared" si="191"/>
        <v>85</v>
      </c>
      <c r="C204">
        <f t="shared" si="159"/>
        <v>1.0014251423173857</v>
      </c>
      <c r="D204">
        <f t="shared" si="160"/>
        <v>5.3356383828577963E-2</v>
      </c>
      <c r="F204">
        <f t="shared" si="161"/>
        <v>1.9724418158065769E-2</v>
      </c>
      <c r="G204">
        <f t="shared" si="162"/>
        <v>8.2282433386182019E-2</v>
      </c>
      <c r="H204">
        <f t="shared" si="163"/>
        <v>-3.0593102166138184</v>
      </c>
      <c r="J204">
        <f t="shared" si="164"/>
        <v>15</v>
      </c>
      <c r="M204">
        <f t="shared" si="165"/>
        <v>9.3855192849038125E-3</v>
      </c>
      <c r="N204">
        <f t="shared" si="166"/>
        <v>-1.5707963250000001</v>
      </c>
      <c r="O204">
        <f t="shared" si="167"/>
        <v>9.6651449838500181</v>
      </c>
      <c r="P204">
        <f t="shared" si="168"/>
        <v>1.4671462724907063</v>
      </c>
      <c r="Q204">
        <f t="shared" si="169"/>
        <v>10.164397306268464</v>
      </c>
      <c r="R204">
        <f t="shared" si="170"/>
        <v>1.4722543053778747</v>
      </c>
      <c r="S204">
        <f t="shared" si="171"/>
        <v>0.99977643063055766</v>
      </c>
      <c r="T204">
        <f t="shared" si="172"/>
        <v>-2.1146049299232306E-2</v>
      </c>
      <c r="U204">
        <f t="shared" si="173"/>
        <v>0.89228921965703578</v>
      </c>
      <c r="V204">
        <f t="shared" si="174"/>
        <v>-0.46840563741840241</v>
      </c>
      <c r="X204">
        <f t="shared" si="192"/>
        <v>-12.262583938624161</v>
      </c>
      <c r="Y204">
        <f t="shared" si="175"/>
        <v>-121.86246615842221</v>
      </c>
      <c r="Z204">
        <f t="shared" si="193"/>
        <v>58.137533841577792</v>
      </c>
      <c r="AC204">
        <v>1</v>
      </c>
      <c r="AD204">
        <f t="shared" si="176"/>
        <v>9.6132735090000008</v>
      </c>
      <c r="AE204">
        <f t="shared" si="177"/>
        <v>-5.1341681977134009E-3</v>
      </c>
      <c r="AF204">
        <f t="shared" si="178"/>
        <v>1.01473442595E-2</v>
      </c>
      <c r="AG204">
        <f t="shared" si="194"/>
        <v>714.57710994802312</v>
      </c>
      <c r="AH204">
        <f t="shared" si="195"/>
        <v>-460.09664729154861</v>
      </c>
      <c r="AJ204">
        <f t="shared" si="179"/>
        <v>10500</v>
      </c>
      <c r="AK204">
        <f t="shared" si="180"/>
        <v>222.06661805790003</v>
      </c>
      <c r="AL204">
        <v>1</v>
      </c>
      <c r="AM204">
        <f t="shared" si="181"/>
        <v>10.1150863861698</v>
      </c>
      <c r="AN204">
        <f t="shared" si="196"/>
        <v>123.37246678203161</v>
      </c>
      <c r="AO204">
        <f t="shared" si="197"/>
        <v>-1025.856541117214</v>
      </c>
      <c r="AQ204">
        <f t="shared" si="182"/>
        <v>0.34600878862323103</v>
      </c>
      <c r="AR204">
        <f t="shared" si="183"/>
        <v>-58.821494065949274</v>
      </c>
      <c r="AT204">
        <f t="shared" si="156"/>
        <v>-26816.322248231976</v>
      </c>
      <c r="AU204">
        <f t="shared" si="157"/>
        <v>-42191.690716049779</v>
      </c>
      <c r="AV204">
        <f t="shared" si="198"/>
        <v>-2.1369697334221125</v>
      </c>
      <c r="AW204">
        <f t="shared" si="199"/>
        <v>-59653.693918535624</v>
      </c>
      <c r="AX204">
        <f t="shared" si="200"/>
        <v>-9492.7698205764027</v>
      </c>
      <c r="AY204">
        <f t="shared" si="208"/>
        <v>-2.9837845230814031</v>
      </c>
      <c r="BA204">
        <f t="shared" si="184"/>
        <v>0.82763251992480069</v>
      </c>
      <c r="BB204">
        <f t="shared" si="201"/>
        <v>-1.643249061275907</v>
      </c>
      <c r="BC204">
        <f t="shared" si="202"/>
        <v>0.84681478965929058</v>
      </c>
      <c r="BD204">
        <f t="shared" si="185"/>
        <v>-131.48108646782316</v>
      </c>
      <c r="BF204">
        <f t="shared" si="186"/>
        <v>-12.208970043386593</v>
      </c>
      <c r="BG204">
        <f t="shared" si="187"/>
        <v>-123.70955469439075</v>
      </c>
      <c r="BH204">
        <f t="shared" si="203"/>
        <v>56.290445305609254</v>
      </c>
      <c r="BI204">
        <f t="shared" si="204"/>
        <v>56.290445305609254</v>
      </c>
      <c r="BJ204">
        <f t="shared" si="188"/>
        <v>0</v>
      </c>
      <c r="BK204">
        <f t="shared" si="205"/>
        <v>0</v>
      </c>
      <c r="BM204">
        <f t="shared" si="206"/>
        <v>-10.565720982110687</v>
      </c>
      <c r="BN204">
        <f t="shared" si="189"/>
        <v>-172.2284682265676</v>
      </c>
      <c r="BQ204" s="56">
        <f t="shared" si="207"/>
        <v>15.258711739009229</v>
      </c>
      <c r="BR204" s="59"/>
      <c r="BS204" s="59"/>
      <c r="BT204" s="59">
        <v>8709.6360000000004</v>
      </c>
      <c r="BU204" s="59">
        <v>-1.62094</v>
      </c>
      <c r="BV204" s="59">
        <v>-218.72200000000001</v>
      </c>
      <c r="BW204" s="61"/>
      <c r="BY204" s="59"/>
      <c r="BZ204" s="59"/>
      <c r="CA204" s="59"/>
      <c r="CC204" s="59"/>
    </row>
    <row r="205" spans="1:81" x14ac:dyDescent="0.2">
      <c r="A205">
        <f t="shared" si="190"/>
        <v>85500</v>
      </c>
      <c r="B205">
        <f t="shared" si="191"/>
        <v>85.5</v>
      </c>
      <c r="C205">
        <f t="shared" si="159"/>
        <v>1.0014419459041684</v>
      </c>
      <c r="D205">
        <f t="shared" si="160"/>
        <v>5.3669644309537481E-2</v>
      </c>
      <c r="F205">
        <f t="shared" si="161"/>
        <v>1.9490607854817769E-2</v>
      </c>
      <c r="G205">
        <f t="shared" si="162"/>
        <v>8.1784231948365579E-2</v>
      </c>
      <c r="H205">
        <f t="shared" si="163"/>
        <v>-3.0598084180516345</v>
      </c>
      <c r="J205">
        <f t="shared" si="164"/>
        <v>15</v>
      </c>
      <c r="M205">
        <f t="shared" si="165"/>
        <v>9.3306332072143165E-3</v>
      </c>
      <c r="N205">
        <f t="shared" si="166"/>
        <v>-1.5707963250000001</v>
      </c>
      <c r="O205">
        <f t="shared" si="167"/>
        <v>9.7213919234335524</v>
      </c>
      <c r="P205">
        <f t="shared" si="168"/>
        <v>1.4677481187673405</v>
      </c>
      <c r="Q205">
        <f t="shared" si="169"/>
        <v>10.223610833269447</v>
      </c>
      <c r="R205">
        <f t="shared" si="170"/>
        <v>1.4728268835088387</v>
      </c>
      <c r="S205">
        <f t="shared" si="171"/>
        <v>0.99977379356173723</v>
      </c>
      <c r="T205">
        <f t="shared" si="172"/>
        <v>-2.1270400419494483E-2</v>
      </c>
      <c r="U205">
        <f t="shared" si="173"/>
        <v>0.89121820257178241</v>
      </c>
      <c r="V205">
        <f t="shared" si="174"/>
        <v>-0.47077242278766518</v>
      </c>
      <c r="X205">
        <f t="shared" si="192"/>
        <v>-12.326558063386875</v>
      </c>
      <c r="Y205">
        <f t="shared" si="175"/>
        <v>-121.9485045399358</v>
      </c>
      <c r="Z205">
        <f t="shared" si="193"/>
        <v>58.051495460064203</v>
      </c>
      <c r="AC205">
        <v>1</v>
      </c>
      <c r="AD205">
        <f t="shared" si="176"/>
        <v>9.6698221767000021</v>
      </c>
      <c r="AE205">
        <f t="shared" si="177"/>
        <v>-5.1947478293888428E-3</v>
      </c>
      <c r="AF205">
        <f t="shared" si="178"/>
        <v>1.020703451985E-2</v>
      </c>
      <c r="AG205">
        <f t="shared" si="194"/>
        <v>712.86272190822785</v>
      </c>
      <c r="AH205">
        <f t="shared" si="195"/>
        <v>-460.77458326790349</v>
      </c>
      <c r="AJ205">
        <f t="shared" si="179"/>
        <v>10500</v>
      </c>
      <c r="AK205">
        <f t="shared" si="180"/>
        <v>223.37289228176999</v>
      </c>
      <c r="AL205">
        <v>1</v>
      </c>
      <c r="AM205">
        <f t="shared" si="181"/>
        <v>10.17458689432374</v>
      </c>
      <c r="AN205">
        <f t="shared" si="196"/>
        <v>122.20106967979893</v>
      </c>
      <c r="AO205">
        <f t="shared" si="197"/>
        <v>-1019.9725097546545</v>
      </c>
      <c r="AQ205">
        <f t="shared" si="182"/>
        <v>0.3419738731960878</v>
      </c>
      <c r="AR205">
        <f t="shared" si="183"/>
        <v>-58.477532316531018</v>
      </c>
      <c r="AT205">
        <f t="shared" si="156"/>
        <v>-26701.18015761688</v>
      </c>
      <c r="AU205">
        <f t="shared" si="157"/>
        <v>-41844.025726549095</v>
      </c>
      <c r="AV205">
        <f t="shared" si="198"/>
        <v>-2.1387690710562293</v>
      </c>
      <c r="AW205">
        <f t="shared" si="199"/>
        <v>-58960.054446943366</v>
      </c>
      <c r="AX205">
        <f t="shared" si="200"/>
        <v>-9367.2718073179276</v>
      </c>
      <c r="AY205">
        <f t="shared" si="208"/>
        <v>-2.9840346155939486</v>
      </c>
      <c r="BA205">
        <f t="shared" si="184"/>
        <v>0.83145447170492048</v>
      </c>
      <c r="BB205">
        <f t="shared" si="201"/>
        <v>-1.603230532705576</v>
      </c>
      <c r="BC205">
        <f t="shared" si="202"/>
        <v>0.84526554453771929</v>
      </c>
      <c r="BD205">
        <f t="shared" si="185"/>
        <v>-131.56985167482185</v>
      </c>
      <c r="BF205">
        <f t="shared" si="186"/>
        <v>-12.272382115853668</v>
      </c>
      <c r="BG205">
        <f t="shared" si="187"/>
        <v>-123.80891623768854</v>
      </c>
      <c r="BH205">
        <f t="shared" si="203"/>
        <v>56.191083762311465</v>
      </c>
      <c r="BI205">
        <f t="shared" si="204"/>
        <v>56.191083762311465</v>
      </c>
      <c r="BJ205">
        <f t="shared" si="188"/>
        <v>0</v>
      </c>
      <c r="BK205">
        <f t="shared" si="205"/>
        <v>0</v>
      </c>
      <c r="BM205">
        <f t="shared" si="206"/>
        <v>-10.669151583148091</v>
      </c>
      <c r="BN205">
        <f t="shared" si="189"/>
        <v>-172.23906456286667</v>
      </c>
      <c r="BQ205" s="56">
        <f t="shared" si="207"/>
        <v>15.298730267579561</v>
      </c>
      <c r="BR205" s="59"/>
      <c r="BS205" s="59"/>
      <c r="BT205" s="59">
        <v>8912.509</v>
      </c>
      <c r="BU205" s="59">
        <v>-1.6954</v>
      </c>
      <c r="BV205" s="59">
        <v>-217.619</v>
      </c>
      <c r="BW205" s="61"/>
      <c r="BY205" s="59"/>
      <c r="BZ205" s="59"/>
      <c r="CA205" s="59"/>
      <c r="CC205" s="59"/>
    </row>
    <row r="206" spans="1:81" x14ac:dyDescent="0.2">
      <c r="A206">
        <f t="shared" si="190"/>
        <v>86000</v>
      </c>
      <c r="B206">
        <f t="shared" si="191"/>
        <v>86</v>
      </c>
      <c r="C206">
        <f t="shared" si="159"/>
        <v>1.0014588477612774</v>
      </c>
      <c r="D206">
        <f t="shared" si="160"/>
        <v>5.3982894247294015E-2</v>
      </c>
      <c r="F206">
        <f t="shared" si="161"/>
        <v>1.9260951983913342E-2</v>
      </c>
      <c r="G206">
        <f t="shared" si="162"/>
        <v>8.1292123736332808E-2</v>
      </c>
      <c r="H206">
        <f t="shared" si="163"/>
        <v>-3.0603005262636676</v>
      </c>
      <c r="J206">
        <f t="shared" si="164"/>
        <v>15</v>
      </c>
      <c r="M206">
        <f t="shared" si="165"/>
        <v>9.2763853397305127E-3</v>
      </c>
      <c r="N206">
        <f t="shared" si="166"/>
        <v>-1.5707963250000001</v>
      </c>
      <c r="O206">
        <f t="shared" si="167"/>
        <v>9.7776423437756392</v>
      </c>
      <c r="P206">
        <f t="shared" si="168"/>
        <v>1.4683430404579798</v>
      </c>
      <c r="Q206">
        <f t="shared" si="169"/>
        <v>10.282827673434596</v>
      </c>
      <c r="R206">
        <f t="shared" si="170"/>
        <v>1.4733928670874366</v>
      </c>
      <c r="S206">
        <f t="shared" si="171"/>
        <v>0.99977114104728804</v>
      </c>
      <c r="T206">
        <f t="shared" si="172"/>
        <v>-2.1394750881843963E-2</v>
      </c>
      <c r="U206">
        <f t="shared" si="173"/>
        <v>0.89014478512890138</v>
      </c>
      <c r="V206">
        <f t="shared" si="174"/>
        <v>-0.47313352006208431</v>
      </c>
      <c r="X206">
        <f t="shared" si="192"/>
        <v>-12.390223009676497</v>
      </c>
      <c r="Y206">
        <f t="shared" si="175"/>
        <v>-122.03464305745662</v>
      </c>
      <c r="Z206">
        <f t="shared" si="193"/>
        <v>57.96535694254338</v>
      </c>
      <c r="AC206">
        <v>1</v>
      </c>
      <c r="AD206">
        <f t="shared" si="176"/>
        <v>9.7263708444000017</v>
      </c>
      <c r="AE206">
        <f t="shared" si="177"/>
        <v>-5.2556827668219118E-3</v>
      </c>
      <c r="AF206">
        <f t="shared" si="178"/>
        <v>1.02667247802E-2</v>
      </c>
      <c r="AG206">
        <f t="shared" si="194"/>
        <v>711.1465575386859</v>
      </c>
      <c r="AH206">
        <f t="shared" si="195"/>
        <v>-461.44810624294428</v>
      </c>
      <c r="AJ206">
        <f t="shared" si="179"/>
        <v>10500</v>
      </c>
      <c r="AK206">
        <f t="shared" si="180"/>
        <v>224.67916650564001</v>
      </c>
      <c r="AL206">
        <v>1</v>
      </c>
      <c r="AM206">
        <f t="shared" si="181"/>
        <v>10.23408740247768</v>
      </c>
      <c r="AN206">
        <f t="shared" si="196"/>
        <v>121.04978682808895</v>
      </c>
      <c r="AO206">
        <f t="shared" si="197"/>
        <v>-1014.1549319443137</v>
      </c>
      <c r="AQ206">
        <f t="shared" si="182"/>
        <v>0.33800912624640866</v>
      </c>
      <c r="AR206">
        <f t="shared" si="183"/>
        <v>-58.137569714382288</v>
      </c>
      <c r="AT206">
        <f t="shared" si="156"/>
        <v>-26587.097419722064</v>
      </c>
      <c r="AU206">
        <f t="shared" si="157"/>
        <v>-41500.306237247562</v>
      </c>
      <c r="AV206">
        <f t="shared" si="198"/>
        <v>-2.1405692452120562</v>
      </c>
      <c r="AW206">
        <f t="shared" si="199"/>
        <v>-58278.338646846838</v>
      </c>
      <c r="AX206">
        <f t="shared" si="200"/>
        <v>-9244.4725730193841</v>
      </c>
      <c r="AY206">
        <f t="shared" si="208"/>
        <v>-2.9842771667262538</v>
      </c>
      <c r="BA206">
        <f t="shared" si="184"/>
        <v>0.83526372521973913</v>
      </c>
      <c r="BB206">
        <f t="shared" si="201"/>
        <v>-1.5635275843570307</v>
      </c>
      <c r="BC206">
        <f t="shared" si="202"/>
        <v>0.8437079215141976</v>
      </c>
      <c r="BD206">
        <f t="shared" si="185"/>
        <v>-131.65909690024404</v>
      </c>
      <c r="BF206">
        <f t="shared" si="186"/>
        <v>-12.335485274826803</v>
      </c>
      <c r="BG206">
        <f t="shared" si="187"/>
        <v>-123.90840928736947</v>
      </c>
      <c r="BH206">
        <f t="shared" si="203"/>
        <v>56.091590712630534</v>
      </c>
      <c r="BI206">
        <f t="shared" si="204"/>
        <v>56.091590712630534</v>
      </c>
      <c r="BJ206">
        <f t="shared" si="188"/>
        <v>0</v>
      </c>
      <c r="BK206">
        <f t="shared" si="205"/>
        <v>0</v>
      </c>
      <c r="BM206">
        <f t="shared" si="206"/>
        <v>-10.771957690469771</v>
      </c>
      <c r="BN206">
        <f t="shared" si="189"/>
        <v>-172.24931238712543</v>
      </c>
      <c r="BQ206" s="56">
        <f t="shared" si="207"/>
        <v>15.338433215928106</v>
      </c>
      <c r="BR206" s="59"/>
      <c r="BS206" s="59"/>
      <c r="BT206" s="59">
        <v>9120.1080000000002</v>
      </c>
      <c r="BU206" s="59">
        <v>-1.76502</v>
      </c>
      <c r="BV206" s="59">
        <v>-216.501</v>
      </c>
      <c r="BW206" s="61"/>
      <c r="BY206" s="59"/>
      <c r="BZ206" s="59"/>
      <c r="CA206" s="59"/>
      <c r="CC206" s="59"/>
    </row>
    <row r="207" spans="1:81" x14ac:dyDescent="0.2">
      <c r="A207">
        <f t="shared" si="190"/>
        <v>86500</v>
      </c>
      <c r="B207">
        <f t="shared" si="191"/>
        <v>86.5</v>
      </c>
      <c r="C207">
        <f t="shared" si="159"/>
        <v>1.0014758478837378</v>
      </c>
      <c r="D207">
        <f t="shared" si="160"/>
        <v>5.4296133580907305E-2</v>
      </c>
      <c r="F207">
        <f t="shared" si="161"/>
        <v>1.9035352209678193E-2</v>
      </c>
      <c r="G207">
        <f t="shared" si="162"/>
        <v>8.0805996035079708E-2</v>
      </c>
      <c r="H207">
        <f t="shared" si="163"/>
        <v>-3.0607866539649207</v>
      </c>
      <c r="J207">
        <f t="shared" si="164"/>
        <v>15</v>
      </c>
      <c r="M207">
        <f t="shared" si="165"/>
        <v>9.2227646152233996E-3</v>
      </c>
      <c r="N207">
        <f t="shared" si="166"/>
        <v>-1.5707963250000001</v>
      </c>
      <c r="O207">
        <f t="shared" si="167"/>
        <v>9.833896185145889</v>
      </c>
      <c r="P207">
        <f t="shared" si="168"/>
        <v>1.4689311559720963</v>
      </c>
      <c r="Q207">
        <f t="shared" si="169"/>
        <v>10.342047769852035</v>
      </c>
      <c r="R207">
        <f t="shared" si="170"/>
        <v>1.4739523690320553</v>
      </c>
      <c r="S207">
        <f t="shared" si="171"/>
        <v>0.99976847308757955</v>
      </c>
      <c r="T207">
        <f t="shared" si="172"/>
        <v>-2.1519100682440326E-2</v>
      </c>
      <c r="U207">
        <f t="shared" si="173"/>
        <v>0.88906901183040965</v>
      </c>
      <c r="V207">
        <f t="shared" si="174"/>
        <v>-0.47548892349207494</v>
      </c>
      <c r="X207">
        <f t="shared" si="192"/>
        <v>-12.453582995768947</v>
      </c>
      <c r="Y207">
        <f t="shared" si="175"/>
        <v>-122.12087458881335</v>
      </c>
      <c r="Z207">
        <f t="shared" si="193"/>
        <v>57.879125411186649</v>
      </c>
      <c r="AC207">
        <v>1</v>
      </c>
      <c r="AD207">
        <f t="shared" si="176"/>
        <v>9.7829195120999994</v>
      </c>
      <c r="AE207">
        <f t="shared" si="177"/>
        <v>-5.3169730100126053E-3</v>
      </c>
      <c r="AF207">
        <f t="shared" si="178"/>
        <v>1.0326415040549999E-2</v>
      </c>
      <c r="AG207">
        <f t="shared" si="194"/>
        <v>709.42870173479423</v>
      </c>
      <c r="AH207">
        <f t="shared" si="195"/>
        <v>-462.11712786221887</v>
      </c>
      <c r="AJ207">
        <f t="shared" si="179"/>
        <v>10500</v>
      </c>
      <c r="AK207">
        <f t="shared" si="180"/>
        <v>225.98544072951003</v>
      </c>
      <c r="AL207">
        <v>1</v>
      </c>
      <c r="AM207">
        <f t="shared" si="181"/>
        <v>10.293587910631622</v>
      </c>
      <c r="AN207">
        <f t="shared" si="196"/>
        <v>119.91816178202359</v>
      </c>
      <c r="AO207">
        <f t="shared" si="197"/>
        <v>-1008.402699655095</v>
      </c>
      <c r="AQ207">
        <f t="shared" si="182"/>
        <v>0.33411293017039762</v>
      </c>
      <c r="AR207">
        <f t="shared" si="183"/>
        <v>-57.801536919478785</v>
      </c>
      <c r="AT207">
        <f t="shared" si="156"/>
        <v>-26474.050924967949</v>
      </c>
      <c r="AU207">
        <f t="shared" si="157"/>
        <v>-41160.468602733585</v>
      </c>
      <c r="AV207">
        <f t="shared" si="198"/>
        <v>-2.1423701386661103</v>
      </c>
      <c r="AW207">
        <f t="shared" si="199"/>
        <v>-57608.276188618431</v>
      </c>
      <c r="AX207">
        <f t="shared" si="200"/>
        <v>-9124.2972911221841</v>
      </c>
      <c r="AY207">
        <f t="shared" si="208"/>
        <v>-2.9845122976850536</v>
      </c>
      <c r="BA207">
        <f t="shared" si="184"/>
        <v>0.83906026544752954</v>
      </c>
      <c r="BB207">
        <f t="shared" si="201"/>
        <v>-1.5241368975772753</v>
      </c>
      <c r="BC207">
        <f t="shared" si="202"/>
        <v>0.84214215901894329</v>
      </c>
      <c r="BD207">
        <f t="shared" si="185"/>
        <v>-131.74880848304448</v>
      </c>
      <c r="BF207">
        <f t="shared" si="186"/>
        <v>-12.398283775959541</v>
      </c>
      <c r="BG207">
        <f t="shared" si="187"/>
        <v>-124.00802664397391</v>
      </c>
      <c r="BH207">
        <f t="shared" si="203"/>
        <v>55.991973356026094</v>
      </c>
      <c r="BI207">
        <f t="shared" si="204"/>
        <v>55.991973356026094</v>
      </c>
      <c r="BJ207">
        <f t="shared" si="188"/>
        <v>0</v>
      </c>
      <c r="BK207">
        <f t="shared" si="205"/>
        <v>0</v>
      </c>
      <c r="BM207">
        <f t="shared" si="206"/>
        <v>-10.874146878382264</v>
      </c>
      <c r="BN207">
        <f t="shared" si="189"/>
        <v>-172.25921816092944</v>
      </c>
      <c r="BQ207" s="56">
        <f t="shared" si="207"/>
        <v>15.377823902707862</v>
      </c>
      <c r="BR207" s="59"/>
      <c r="BS207" s="59"/>
      <c r="BT207" s="59">
        <v>9332.5429999999997</v>
      </c>
      <c r="BU207" s="59">
        <v>-1.99203</v>
      </c>
      <c r="BV207" s="59">
        <v>-215.83600000000001</v>
      </c>
      <c r="BW207" s="61"/>
      <c r="BY207" s="59"/>
      <c r="BZ207" s="59"/>
      <c r="CA207" s="59"/>
      <c r="CC207" s="59"/>
    </row>
    <row r="208" spans="1:81" x14ac:dyDescent="0.2">
      <c r="A208">
        <f t="shared" si="190"/>
        <v>87000</v>
      </c>
      <c r="B208">
        <f t="shared" si="191"/>
        <v>87</v>
      </c>
      <c r="C208">
        <f t="shared" si="159"/>
        <v>1.0014929462665452</v>
      </c>
      <c r="D208">
        <f t="shared" si="160"/>
        <v>5.4609362249449567E-2</v>
      </c>
      <c r="F208">
        <f t="shared" si="161"/>
        <v>1.8813713102703061E-2</v>
      </c>
      <c r="G208">
        <f t="shared" si="162"/>
        <v>8.0325738927565199E-2</v>
      </c>
      <c r="H208">
        <f t="shared" si="163"/>
        <v>-3.0612669110724351</v>
      </c>
      <c r="J208">
        <f t="shared" si="164"/>
        <v>15</v>
      </c>
      <c r="M208">
        <f t="shared" si="165"/>
        <v>9.1697602208830348E-3</v>
      </c>
      <c r="N208">
        <f t="shared" si="166"/>
        <v>-1.5707963250000001</v>
      </c>
      <c r="O208">
        <f t="shared" si="167"/>
        <v>9.890153389169285</v>
      </c>
      <c r="P208">
        <f t="shared" si="168"/>
        <v>1.4695125810440932</v>
      </c>
      <c r="Q208">
        <f t="shared" si="169"/>
        <v>10.401271066902915</v>
      </c>
      <c r="R208">
        <f t="shared" si="170"/>
        <v>1.4745054997057643</v>
      </c>
      <c r="S208">
        <f t="shared" si="171"/>
        <v>0.99976578968298302</v>
      </c>
      <c r="T208">
        <f t="shared" si="172"/>
        <v>-2.1643449817443275E-2</v>
      </c>
      <c r="U208">
        <f t="shared" si="173"/>
        <v>0.88799092695203519</v>
      </c>
      <c r="V208">
        <f t="shared" si="174"/>
        <v>-0.4778386276084593</v>
      </c>
      <c r="X208">
        <f t="shared" si="192"/>
        <v>-12.51664214980689</v>
      </c>
      <c r="Y208">
        <f t="shared" si="175"/>
        <v>-122.20719216726762</v>
      </c>
      <c r="Z208">
        <f t="shared" si="193"/>
        <v>57.792807832732379</v>
      </c>
      <c r="AC208">
        <v>1</v>
      </c>
      <c r="AD208">
        <f t="shared" si="176"/>
        <v>9.8394681798000008</v>
      </c>
      <c r="AE208">
        <f t="shared" si="177"/>
        <v>-5.3786185589609296E-3</v>
      </c>
      <c r="AF208">
        <f t="shared" si="178"/>
        <v>1.0386105300899999E-2</v>
      </c>
      <c r="AG208">
        <f t="shared" si="194"/>
        <v>707.70923871778291</v>
      </c>
      <c r="AH208">
        <f t="shared" si="195"/>
        <v>-462.78156310422497</v>
      </c>
      <c r="AJ208">
        <f t="shared" si="179"/>
        <v>10500</v>
      </c>
      <c r="AK208">
        <f t="shared" si="180"/>
        <v>227.29171495338005</v>
      </c>
      <c r="AL208">
        <v>1</v>
      </c>
      <c r="AM208">
        <f t="shared" si="181"/>
        <v>10.353088418785562</v>
      </c>
      <c r="AN208">
        <f t="shared" si="196"/>
        <v>118.80575093030586</v>
      </c>
      <c r="AO208">
        <f t="shared" si="197"/>
        <v>-1002.7147290882915</v>
      </c>
      <c r="AQ208">
        <f t="shared" si="182"/>
        <v>0.33028371371007698</v>
      </c>
      <c r="AR208">
        <f t="shared" si="183"/>
        <v>-57.46936618555339</v>
      </c>
      <c r="AT208">
        <f t="shared" si="156"/>
        <v>-26362.018278368847</v>
      </c>
      <c r="AU208">
        <f t="shared" si="157"/>
        <v>-40824.45060607011</v>
      </c>
      <c r="AV208">
        <f t="shared" si="198"/>
        <v>-2.1441716369909556</v>
      </c>
      <c r="AW208">
        <f t="shared" si="199"/>
        <v>-56949.604332411989</v>
      </c>
      <c r="AX208">
        <f t="shared" si="200"/>
        <v>-9006.6736362187294</v>
      </c>
      <c r="AY208">
        <f t="shared" si="208"/>
        <v>-2.9847401269966962</v>
      </c>
      <c r="BA208">
        <f t="shared" si="184"/>
        <v>0.84284407833311259</v>
      </c>
      <c r="BB208">
        <f t="shared" si="201"/>
        <v>-1.4850552022310002</v>
      </c>
      <c r="BC208">
        <f t="shared" si="202"/>
        <v>0.84056849000574063</v>
      </c>
      <c r="BD208">
        <f t="shared" si="185"/>
        <v>-131.83897307595456</v>
      </c>
      <c r="BF208">
        <f t="shared" si="186"/>
        <v>-12.46078178449503</v>
      </c>
      <c r="BG208">
        <f t="shared" si="187"/>
        <v>-124.10776126150665</v>
      </c>
      <c r="BH208">
        <f t="shared" si="203"/>
        <v>55.892238738493347</v>
      </c>
      <c r="BI208">
        <f t="shared" si="204"/>
        <v>55.892238738493347</v>
      </c>
      <c r="BJ208">
        <f t="shared" si="188"/>
        <v>0</v>
      </c>
      <c r="BK208">
        <f t="shared" si="205"/>
        <v>0</v>
      </c>
      <c r="BM208">
        <f t="shared" si="206"/>
        <v>-10.975726582264031</v>
      </c>
      <c r="BN208">
        <f t="shared" si="189"/>
        <v>-172.26878818555213</v>
      </c>
      <c r="BQ208" s="56">
        <f t="shared" si="207"/>
        <v>15.416905598054136</v>
      </c>
      <c r="BR208" s="59"/>
      <c r="BS208" s="59"/>
      <c r="BT208" s="59">
        <v>9549.9259999999995</v>
      </c>
      <c r="BU208" s="59">
        <v>-2.1278299999999999</v>
      </c>
      <c r="BV208" s="59">
        <v>-215.499</v>
      </c>
      <c r="BW208" s="61"/>
      <c r="BY208" s="59"/>
      <c r="BZ208" s="59"/>
      <c r="CA208" s="59"/>
      <c r="CC208" s="59"/>
    </row>
    <row r="209" spans="1:81" x14ac:dyDescent="0.2">
      <c r="A209">
        <f t="shared" si="190"/>
        <v>87500</v>
      </c>
      <c r="B209">
        <f t="shared" si="191"/>
        <v>87.5</v>
      </c>
      <c r="C209">
        <f t="shared" si="159"/>
        <v>1.0015101429046667</v>
      </c>
      <c r="D209">
        <f t="shared" si="160"/>
        <v>5.4922580192005493E-2</v>
      </c>
      <c r="F209">
        <f t="shared" si="161"/>
        <v>1.8595942036912491E-2</v>
      </c>
      <c r="G209">
        <f t="shared" si="162"/>
        <v>7.9851245207502336E-2</v>
      </c>
      <c r="H209">
        <f t="shared" si="163"/>
        <v>-3.0617414047924978</v>
      </c>
      <c r="J209">
        <f t="shared" si="164"/>
        <v>15</v>
      </c>
      <c r="M209">
        <f t="shared" si="165"/>
        <v>9.1173615910494169E-3</v>
      </c>
      <c r="N209">
        <f t="shared" si="166"/>
        <v>-1.5707963250000001</v>
      </c>
      <c r="O209">
        <f t="shared" si="167"/>
        <v>9.9464138987880357</v>
      </c>
      <c r="P209">
        <f t="shared" si="168"/>
        <v>1.4700874288081609</v>
      </c>
      <c r="Q209">
        <f t="shared" si="169"/>
        <v>10.460497510224984</v>
      </c>
      <c r="R209">
        <f t="shared" si="170"/>
        <v>1.4750523669879667</v>
      </c>
      <c r="S209">
        <f t="shared" si="171"/>
        <v>0.9997630908338716</v>
      </c>
      <c r="T209">
        <f t="shared" si="172"/>
        <v>-2.1767798283012632E-2</v>
      </c>
      <c r="U209">
        <f t="shared" si="173"/>
        <v>0.88691057454072764</v>
      </c>
      <c r="V209">
        <f t="shared" si="174"/>
        <v>-0.48018262722022498</v>
      </c>
      <c r="X209">
        <f t="shared" si="192"/>
        <v>-12.579404512258996</v>
      </c>
      <c r="Y209">
        <f t="shared" si="175"/>
        <v>-122.29358897798811</v>
      </c>
      <c r="Z209">
        <f t="shared" si="193"/>
        <v>57.706411022011892</v>
      </c>
      <c r="AC209">
        <v>1</v>
      </c>
      <c r="AD209">
        <f t="shared" si="176"/>
        <v>9.8960168475000003</v>
      </c>
      <c r="AE209">
        <f t="shared" si="177"/>
        <v>-5.4406194136668801E-3</v>
      </c>
      <c r="AF209">
        <f t="shared" si="178"/>
        <v>1.044579556125E-2</v>
      </c>
      <c r="AG209">
        <f t="shared" si="194"/>
        <v>705.98825203108322</v>
      </c>
      <c r="AH209">
        <f t="shared" si="195"/>
        <v>-463.44133019215968</v>
      </c>
      <c r="AJ209">
        <f t="shared" si="179"/>
        <v>10500</v>
      </c>
      <c r="AK209">
        <f t="shared" si="180"/>
        <v>228.59798917725001</v>
      </c>
      <c r="AL209">
        <v>1</v>
      </c>
      <c r="AM209">
        <f t="shared" si="181"/>
        <v>10.412588926939501</v>
      </c>
      <c r="AN209">
        <f t="shared" si="196"/>
        <v>117.71212306601257</v>
      </c>
      <c r="AO209">
        <f t="shared" si="197"/>
        <v>-997.08996002645233</v>
      </c>
      <c r="AQ209">
        <f t="shared" si="182"/>
        <v>0.32651995036896753</v>
      </c>
      <c r="AR209">
        <f t="shared" si="183"/>
        <v>-57.14099131456932</v>
      </c>
      <c r="AT209">
        <f t="shared" si="156"/>
        <v>-26250.977774308387</v>
      </c>
      <c r="AU209">
        <f t="shared" si="157"/>
        <v>-40492.191417629379</v>
      </c>
      <c r="AV209">
        <f t="shared" si="198"/>
        <v>-2.1459736284826603</v>
      </c>
      <c r="AW209">
        <f t="shared" si="199"/>
        <v>-56302.067674732178</v>
      </c>
      <c r="AX209">
        <f t="shared" si="200"/>
        <v>-8891.5316866595203</v>
      </c>
      <c r="AY209">
        <f t="shared" si="208"/>
        <v>-2.9849607705827736</v>
      </c>
      <c r="BA209">
        <f t="shared" si="184"/>
        <v>0.8466151507737304</v>
      </c>
      <c r="BB209">
        <f t="shared" si="201"/>
        <v>-1.4462792757435636</v>
      </c>
      <c r="BC209">
        <f t="shared" si="202"/>
        <v>0.83898714210011338</v>
      </c>
      <c r="BD209">
        <f t="shared" si="185"/>
        <v>-131.92957763699238</v>
      </c>
      <c r="BF209">
        <f t="shared" si="186"/>
        <v>-12.522983377723422</v>
      </c>
      <c r="BG209">
        <f t="shared" si="187"/>
        <v>-124.20760624394387</v>
      </c>
      <c r="BH209">
        <f t="shared" si="203"/>
        <v>55.792393756056128</v>
      </c>
      <c r="BI209">
        <f t="shared" si="204"/>
        <v>55.792393756056128</v>
      </c>
      <c r="BJ209">
        <f t="shared" si="188"/>
        <v>0</v>
      </c>
      <c r="BK209">
        <f t="shared" si="205"/>
        <v>0</v>
      </c>
      <c r="BM209">
        <f t="shared" si="206"/>
        <v>-11.07670410197986</v>
      </c>
      <c r="BN209">
        <f t="shared" si="189"/>
        <v>-172.27802860695149</v>
      </c>
      <c r="BQ209" s="56">
        <f t="shared" si="207"/>
        <v>15.455681524541573</v>
      </c>
      <c r="BR209" s="59"/>
      <c r="BS209" s="59"/>
      <c r="BT209" s="59">
        <v>9772.3719999999994</v>
      </c>
      <c r="BU209" s="59">
        <v>-1.9944299999999999</v>
      </c>
      <c r="BV209" s="59">
        <v>-212.98699999999999</v>
      </c>
      <c r="BW209" s="61"/>
      <c r="BY209" s="59"/>
      <c r="BZ209" s="59"/>
      <c r="CA209" s="59"/>
      <c r="CC209" s="59"/>
    </row>
    <row r="210" spans="1:81" x14ac:dyDescent="0.2">
      <c r="A210">
        <f t="shared" si="190"/>
        <v>88000</v>
      </c>
      <c r="B210">
        <f t="shared" si="191"/>
        <v>88</v>
      </c>
      <c r="C210">
        <f t="shared" si="159"/>
        <v>1.0015274377930414</v>
      </c>
      <c r="D210">
        <f t="shared" si="160"/>
        <v>5.5235787347672413E-2</v>
      </c>
      <c r="F210">
        <f t="shared" si="161"/>
        <v>1.8381949090879795E-2</v>
      </c>
      <c r="G210">
        <f t="shared" si="162"/>
        <v>7.9382410295420133E-2</v>
      </c>
      <c r="H210">
        <f t="shared" si="163"/>
        <v>-3.0622102397045801</v>
      </c>
      <c r="J210">
        <f t="shared" si="164"/>
        <v>15</v>
      </c>
      <c r="M210">
        <f t="shared" si="165"/>
        <v>9.0655584001911819E-3</v>
      </c>
      <c r="N210">
        <f t="shared" si="166"/>
        <v>-1.5707963250000001</v>
      </c>
      <c r="O210">
        <f t="shared" si="167"/>
        <v>10.002677658224734</v>
      </c>
      <c r="P210">
        <f t="shared" si="168"/>
        <v>1.4706558098706428</v>
      </c>
      <c r="Q210">
        <f t="shared" si="169"/>
        <v>10.519727046677383</v>
      </c>
      <c r="R210">
        <f t="shared" si="170"/>
        <v>1.4755930763436582</v>
      </c>
      <c r="S210">
        <f t="shared" si="171"/>
        <v>0.99976037654062067</v>
      </c>
      <c r="T210">
        <f t="shared" si="172"/>
        <v>-2.1892146075308355E-2</v>
      </c>
      <c r="U210">
        <f t="shared" si="173"/>
        <v>0.88582799841224091</v>
      </c>
      <c r="V210">
        <f t="shared" si="174"/>
        <v>-0.48252091741227138</v>
      </c>
      <c r="X210">
        <f t="shared" si="192"/>
        <v>-12.641874038297203</v>
      </c>
      <c r="Y210">
        <f t="shared" si="175"/>
        <v>-122.38005835461627</v>
      </c>
      <c r="Z210">
        <f t="shared" si="193"/>
        <v>57.619941645383733</v>
      </c>
      <c r="AC210">
        <v>1</v>
      </c>
      <c r="AD210">
        <f t="shared" si="176"/>
        <v>9.9525655152000017</v>
      </c>
      <c r="AE210">
        <f t="shared" si="177"/>
        <v>-5.5029755741304587E-3</v>
      </c>
      <c r="AF210">
        <f t="shared" si="178"/>
        <v>1.05054858216E-2</v>
      </c>
      <c r="AG210">
        <f t="shared" si="194"/>
        <v>704.26582453688638</v>
      </c>
      <c r="AH210">
        <f t="shared" si="195"/>
        <v>-464.09635050830798</v>
      </c>
      <c r="AJ210">
        <f t="shared" si="179"/>
        <v>10500</v>
      </c>
      <c r="AK210">
        <f t="shared" si="180"/>
        <v>229.90426340112003</v>
      </c>
      <c r="AL210">
        <v>1</v>
      </c>
      <c r="AM210">
        <f t="shared" si="181"/>
        <v>10.472089435093441</v>
      </c>
      <c r="AN210">
        <f t="shared" si="196"/>
        <v>116.6368589739877</v>
      </c>
      <c r="AO210">
        <f t="shared" si="197"/>
        <v>-991.52735520286001</v>
      </c>
      <c r="AQ210">
        <f t="shared" si="182"/>
        <v>0.32282015689059623</v>
      </c>
      <c r="AR210">
        <f t="shared" si="183"/>
        <v>-56.816347612744941</v>
      </c>
      <c r="AT210">
        <f t="shared" si="156"/>
        <v>-26140.908372316659</v>
      </c>
      <c r="AU210">
        <f t="shared" si="157"/>
        <v>-40163.631555347616</v>
      </c>
      <c r="AV210">
        <f t="shared" si="198"/>
        <v>-2.1477760040905745</v>
      </c>
      <c r="AW210">
        <f t="shared" si="199"/>
        <v>-55665.417904788286</v>
      </c>
      <c r="AX210">
        <f t="shared" si="200"/>
        <v>-8778.8038314775677</v>
      </c>
      <c r="AY210">
        <f t="shared" si="208"/>
        <v>-2.98517434183321</v>
      </c>
      <c r="BA210">
        <f t="shared" si="184"/>
        <v>0.85037347060514268</v>
      </c>
      <c r="BB210">
        <f t="shared" si="201"/>
        <v>-1.4078059421673026</v>
      </c>
      <c r="BC210">
        <f t="shared" si="202"/>
        <v>0.8373983377426355</v>
      </c>
      <c r="BD210">
        <f t="shared" si="185"/>
        <v>-132.02060942125186</v>
      </c>
      <c r="BF210">
        <f t="shared" si="186"/>
        <v>-12.584892547357427</v>
      </c>
      <c r="BG210">
        <f t="shared" si="187"/>
        <v>-124.30755484183123</v>
      </c>
      <c r="BH210">
        <f t="shared" si="203"/>
        <v>55.692445158168766</v>
      </c>
      <c r="BI210">
        <f t="shared" si="204"/>
        <v>55.692445158168766</v>
      </c>
      <c r="BJ210">
        <f t="shared" si="188"/>
        <v>0</v>
      </c>
      <c r="BK210">
        <f t="shared" si="205"/>
        <v>0</v>
      </c>
      <c r="BM210">
        <f t="shared" si="206"/>
        <v>-11.177086605190125</v>
      </c>
      <c r="BN210">
        <f t="shared" si="189"/>
        <v>-172.28694542057937</v>
      </c>
      <c r="BQ210" s="56">
        <f t="shared" si="207"/>
        <v>15.494154858117835</v>
      </c>
      <c r="BR210" s="59"/>
      <c r="BS210" s="59"/>
      <c r="BT210" s="59">
        <v>10000</v>
      </c>
      <c r="BU210" s="59">
        <v>-2.2209699999999999</v>
      </c>
      <c r="BV210" s="59">
        <v>-213.047</v>
      </c>
      <c r="BW210" s="61"/>
      <c r="BY210" s="59"/>
      <c r="BZ210" s="59"/>
      <c r="CA210" s="59"/>
      <c r="CC210" s="59"/>
    </row>
    <row r="211" spans="1:81" x14ac:dyDescent="0.2">
      <c r="A211">
        <f t="shared" si="190"/>
        <v>88500</v>
      </c>
      <c r="B211">
        <f t="shared" si="191"/>
        <v>88.5</v>
      </c>
      <c r="C211">
        <f t="shared" si="159"/>
        <v>1.0015448309265795</v>
      </c>
      <c r="D211">
        <f t="shared" si="160"/>
        <v>5.554898365556029E-2</v>
      </c>
      <c r="F211">
        <f t="shared" si="161"/>
        <v>1.8171646953188389E-2</v>
      </c>
      <c r="G211">
        <f t="shared" si="162"/>
        <v>7.891913215785247E-2</v>
      </c>
      <c r="H211">
        <f t="shared" si="163"/>
        <v>-3.0626735178421476</v>
      </c>
      <c r="J211">
        <f t="shared" si="164"/>
        <v>15</v>
      </c>
      <c r="M211">
        <f t="shared" si="165"/>
        <v>9.0143405561223054E-3</v>
      </c>
      <c r="N211">
        <f t="shared" si="166"/>
        <v>-1.5707963250000001</v>
      </c>
      <c r="O211">
        <f t="shared" si="167"/>
        <v>10.058944612946723</v>
      </c>
      <c r="P211">
        <f t="shared" si="168"/>
        <v>1.4712178323800051</v>
      </c>
      <c r="Q211">
        <f t="shared" si="169"/>
        <v>10.578959624306604</v>
      </c>
      <c r="R211">
        <f t="shared" si="170"/>
        <v>1.47612773089039</v>
      </c>
      <c r="S211">
        <f t="shared" si="171"/>
        <v>0.99975764680360779</v>
      </c>
      <c r="T211">
        <f t="shared" si="172"/>
        <v>-2.2016493190490517E-2</v>
      </c>
      <c r="U211">
        <f t="shared" si="173"/>
        <v>0.88474324214878863</v>
      </c>
      <c r="V211">
        <f t="shared" si="174"/>
        <v>-0.48485349354314516</v>
      </c>
      <c r="X211">
        <f t="shared" si="192"/>
        <v>-12.704054600095301</v>
      </c>
      <c r="Y211">
        <f t="shared" si="175"/>
        <v>-122.46659377592094</v>
      </c>
      <c r="Z211">
        <f t="shared" si="193"/>
        <v>57.533406224079059</v>
      </c>
      <c r="AC211">
        <v>1</v>
      </c>
      <c r="AD211">
        <f t="shared" si="176"/>
        <v>10.009114182900001</v>
      </c>
      <c r="AE211">
        <f t="shared" si="177"/>
        <v>-5.5656870403516644E-3</v>
      </c>
      <c r="AF211">
        <f t="shared" si="178"/>
        <v>1.056517608195E-2</v>
      </c>
      <c r="AG211">
        <f t="shared" si="194"/>
        <v>702.54203841289689</v>
      </c>
      <c r="AH211">
        <f t="shared" si="195"/>
        <v>-464.74654851096869</v>
      </c>
      <c r="AJ211">
        <f t="shared" si="179"/>
        <v>10500</v>
      </c>
      <c r="AK211">
        <f t="shared" si="180"/>
        <v>231.21053762499005</v>
      </c>
      <c r="AL211">
        <v>1</v>
      </c>
      <c r="AM211">
        <f t="shared" si="181"/>
        <v>10.531589943247381</v>
      </c>
      <c r="AN211">
        <f t="shared" si="196"/>
        <v>115.57955103410875</v>
      </c>
      <c r="AO211">
        <f t="shared" si="197"/>
        <v>-986.02589969087705</v>
      </c>
      <c r="AQ211">
        <f t="shared" si="182"/>
        <v>0.31918289179699966</v>
      </c>
      <c r="AR211">
        <f t="shared" si="183"/>
        <v>-56.495371848068942</v>
      </c>
      <c r="AT211">
        <f t="shared" si="156"/>
        <v>-26031.7896738042</v>
      </c>
      <c r="AU211">
        <f t="shared" si="157"/>
        <v>-39838.712846343347</v>
      </c>
      <c r="AV211">
        <f t="shared" si="198"/>
        <v>-2.1495786573493487</v>
      </c>
      <c r="AW211">
        <f t="shared" si="199"/>
        <v>-55039.413570204852</v>
      </c>
      <c r="AX211">
        <f t="shared" si="200"/>
        <v>-8668.4246814158978</v>
      </c>
      <c r="AY211">
        <f t="shared" si="208"/>
        <v>-2.9853809516769041</v>
      </c>
      <c r="BA211">
        <f t="shared" si="184"/>
        <v>0.85411902658793781</v>
      </c>
      <c r="BB211">
        <f t="shared" si="201"/>
        <v>-1.3696320712705257</v>
      </c>
      <c r="BC211">
        <f t="shared" si="202"/>
        <v>0.83580229432755537</v>
      </c>
      <c r="BD211">
        <f t="shared" si="185"/>
        <v>-132.11205597296009</v>
      </c>
      <c r="BF211">
        <f t="shared" si="186"/>
        <v>-12.646513201829229</v>
      </c>
      <c r="BG211">
        <f t="shared" si="187"/>
        <v>-124.40760044897154</v>
      </c>
      <c r="BH211">
        <f t="shared" si="203"/>
        <v>55.592399551028464</v>
      </c>
      <c r="BI211">
        <f t="shared" si="204"/>
        <v>55.592399551028464</v>
      </c>
      <c r="BJ211">
        <f t="shared" si="188"/>
        <v>0</v>
      </c>
      <c r="BK211">
        <f t="shared" si="205"/>
        <v>0</v>
      </c>
      <c r="BM211">
        <f t="shared" si="206"/>
        <v>-11.276881130558705</v>
      </c>
      <c r="BN211">
        <f t="shared" si="189"/>
        <v>-172.29554447601146</v>
      </c>
      <c r="BQ211" s="56">
        <f t="shared" si="207"/>
        <v>15.53232872901461</v>
      </c>
      <c r="BR211" s="59"/>
      <c r="BS211" s="59"/>
      <c r="BT211" s="59">
        <v>10232.93</v>
      </c>
      <c r="BU211" s="59">
        <v>-2.4867400000000002</v>
      </c>
      <c r="BV211" s="59">
        <v>-211.715</v>
      </c>
      <c r="BW211" s="61"/>
      <c r="BY211" s="59"/>
      <c r="BZ211" s="59"/>
      <c r="CA211" s="59"/>
      <c r="CC211" s="59"/>
    </row>
    <row r="212" spans="1:81" x14ac:dyDescent="0.2">
      <c r="A212">
        <f t="shared" si="190"/>
        <v>89000</v>
      </c>
      <c r="B212">
        <f t="shared" si="191"/>
        <v>89</v>
      </c>
      <c r="C212">
        <f t="shared" si="159"/>
        <v>1.0015623223001626</v>
      </c>
      <c r="D212">
        <f t="shared" si="160"/>
        <v>5.5862169054791799E-2</v>
      </c>
      <c r="F212">
        <f t="shared" si="161"/>
        <v>1.796495083165019E-2</v>
      </c>
      <c r="G212">
        <f t="shared" si="162"/>
        <v>7.846131122951816E-2</v>
      </c>
      <c r="H212">
        <f t="shared" si="163"/>
        <v>-3.0631313387704822</v>
      </c>
      <c r="J212">
        <f t="shared" si="164"/>
        <v>15</v>
      </c>
      <c r="M212">
        <f t="shared" si="165"/>
        <v>8.963698193447462E-3</v>
      </c>
      <c r="N212">
        <f t="shared" si="166"/>
        <v>-1.5707963250000001</v>
      </c>
      <c r="O212">
        <f t="shared" si="167"/>
        <v>10.115214709631669</v>
      </c>
      <c r="P212">
        <f t="shared" si="168"/>
        <v>1.4717736020945045</v>
      </c>
      <c r="Q212">
        <f t="shared" si="169"/>
        <v>10.638195192313601</v>
      </c>
      <c r="R212">
        <f t="shared" si="170"/>
        <v>1.4766564314630222</v>
      </c>
      <c r="S212">
        <f t="shared" si="171"/>
        <v>0.99975490162321301</v>
      </c>
      <c r="T212">
        <f t="shared" si="172"/>
        <v>-2.2140839624719317E-2</v>
      </c>
      <c r="U212">
        <f t="shared" si="173"/>
        <v>0.88365634909677071</v>
      </c>
      <c r="V212">
        <f t="shared" si="174"/>
        <v>-0.4871803512427656</v>
      </c>
      <c r="X212">
        <f t="shared" si="192"/>
        <v>-12.765949989051844</v>
      </c>
      <c r="Y212">
        <f t="shared" si="175"/>
        <v>-122.55318886253973</v>
      </c>
      <c r="Z212">
        <f t="shared" si="193"/>
        <v>57.446811137460273</v>
      </c>
      <c r="AC212">
        <v>1</v>
      </c>
      <c r="AD212">
        <f t="shared" si="176"/>
        <v>10.065662850600001</v>
      </c>
      <c r="AE212">
        <f t="shared" si="177"/>
        <v>-5.6287538123304965E-3</v>
      </c>
      <c r="AF212">
        <f t="shared" si="178"/>
        <v>1.0624866342299999E-2</v>
      </c>
      <c r="AG212">
        <f t="shared" si="194"/>
        <v>700.81697514927146</v>
      </c>
      <c r="AH212">
        <f t="shared" si="195"/>
        <v>-465.39185165382395</v>
      </c>
      <c r="AJ212">
        <f t="shared" si="179"/>
        <v>10500</v>
      </c>
      <c r="AK212">
        <f t="shared" si="180"/>
        <v>232.51681184886002</v>
      </c>
      <c r="AL212">
        <v>1</v>
      </c>
      <c r="AM212">
        <f t="shared" si="181"/>
        <v>10.591090451401321</v>
      </c>
      <c r="AN212">
        <f t="shared" si="196"/>
        <v>114.53980283973432</v>
      </c>
      <c r="AO212">
        <f t="shared" si="197"/>
        <v>-980.58460031244022</v>
      </c>
      <c r="AQ212">
        <f t="shared" si="182"/>
        <v>0.31560675398453525</v>
      </c>
      <c r="AR212">
        <f t="shared" si="183"/>
        <v>-56.178002209247275</v>
      </c>
      <c r="AT212">
        <f t="shared" si="156"/>
        <v>-25923.60189971008</v>
      </c>
      <c r="AU212">
        <f t="shared" si="157"/>
        <v>-39517.378389845078</v>
      </c>
      <c r="AV212">
        <f t="shared" si="198"/>
        <v>-2.1513814843130992</v>
      </c>
      <c r="AW212">
        <f t="shared" si="199"/>
        <v>-54423.819851681983</v>
      </c>
      <c r="AX212">
        <f t="shared" si="200"/>
        <v>-8560.3309838557216</v>
      </c>
      <c r="AY212">
        <f t="shared" si="208"/>
        <v>-2.9855807086500215</v>
      </c>
      <c r="BA212">
        <f t="shared" si="184"/>
        <v>0.85785180839404951</v>
      </c>
      <c r="BB212">
        <f t="shared" si="201"/>
        <v>-1.3317545776485864</v>
      </c>
      <c r="BC212">
        <f t="shared" si="202"/>
        <v>0.83419922433692228</v>
      </c>
      <c r="BD212">
        <f t="shared" si="185"/>
        <v>-132.2039051177924</v>
      </c>
      <c r="BF212">
        <f t="shared" si="186"/>
        <v>-12.707849168511881</v>
      </c>
      <c r="BG212">
        <f t="shared" si="187"/>
        <v>-124.50773659919857</v>
      </c>
      <c r="BH212">
        <f t="shared" si="203"/>
        <v>55.492263400801434</v>
      </c>
      <c r="BI212">
        <f t="shared" si="204"/>
        <v>55.492263400801434</v>
      </c>
      <c r="BJ212">
        <f t="shared" si="188"/>
        <v>0</v>
      </c>
      <c r="BK212">
        <f t="shared" si="205"/>
        <v>0</v>
      </c>
      <c r="BM212">
        <f t="shared" si="206"/>
        <v>-11.376094590863294</v>
      </c>
      <c r="BN212">
        <f t="shared" si="189"/>
        <v>-172.30383148140615</v>
      </c>
      <c r="BQ212" s="56">
        <f t="shared" si="207"/>
        <v>15.57020622263655</v>
      </c>
      <c r="BR212" s="59"/>
      <c r="BS212" s="59"/>
      <c r="BT212" s="59">
        <v>10471.285</v>
      </c>
      <c r="BU212" s="59">
        <v>-2.3517399999999999</v>
      </c>
      <c r="BV212" s="59">
        <v>-211.89099999999999</v>
      </c>
      <c r="BW212" s="61"/>
      <c r="BY212" s="59"/>
      <c r="BZ212" s="59"/>
      <c r="CA212" s="59"/>
      <c r="CC212" s="59"/>
    </row>
    <row r="213" spans="1:81" x14ac:dyDescent="0.2">
      <c r="A213">
        <f t="shared" si="190"/>
        <v>89500</v>
      </c>
      <c r="B213">
        <f t="shared" si="191"/>
        <v>89.5</v>
      </c>
      <c r="C213">
        <f t="shared" si="159"/>
        <v>1.0015799119086435</v>
      </c>
      <c r="D213">
        <f t="shared" si="160"/>
        <v>5.6175343484502462E-2</v>
      </c>
      <c r="F213">
        <f t="shared" si="161"/>
        <v>1.7761778366201832E-2</v>
      </c>
      <c r="G213">
        <f t="shared" si="162"/>
        <v>7.8008850338362801E-2</v>
      </c>
      <c r="H213">
        <f t="shared" si="163"/>
        <v>-3.0635837996616373</v>
      </c>
      <c r="J213">
        <f t="shared" si="164"/>
        <v>15</v>
      </c>
      <c r="M213">
        <f t="shared" si="165"/>
        <v>8.9136216672270844E-3</v>
      </c>
      <c r="N213">
        <f t="shared" si="166"/>
        <v>-1.5707963250000001</v>
      </c>
      <c r="O213">
        <f t="shared" si="167"/>
        <v>10.171487896134231</v>
      </c>
      <c r="P213">
        <f t="shared" si="168"/>
        <v>1.4723232224476379</v>
      </c>
      <c r="Q213">
        <f t="shared" si="169"/>
        <v>10.697433701021952</v>
      </c>
      <c r="R213">
        <f t="shared" si="170"/>
        <v>1.4771792766763512</v>
      </c>
      <c r="S213">
        <f t="shared" si="171"/>
        <v>0.99975214099981802</v>
      </c>
      <c r="T213">
        <f t="shared" si="172"/>
        <v>-2.2265185374155082E-2</v>
      </c>
      <c r="U213">
        <f t="shared" si="173"/>
        <v>0.88256736236457201</v>
      </c>
      <c r="V213">
        <f t="shared" si="174"/>
        <v>-0.48950148641013946</v>
      </c>
      <c r="X213">
        <f t="shared" si="192"/>
        <v>-12.827563917940509</v>
      </c>
      <c r="Y213">
        <f t="shared" si="175"/>
        <v>-122.63983737380441</v>
      </c>
      <c r="Z213">
        <f t="shared" si="193"/>
        <v>57.360162626195589</v>
      </c>
      <c r="AC213">
        <v>1</v>
      </c>
      <c r="AD213">
        <f t="shared" si="176"/>
        <v>10.1222115183</v>
      </c>
      <c r="AE213">
        <f t="shared" si="177"/>
        <v>-5.6921758900669566E-3</v>
      </c>
      <c r="AF213">
        <f t="shared" si="178"/>
        <v>1.0684556602649999E-2</v>
      </c>
      <c r="AG213">
        <f t="shared" si="194"/>
        <v>699.09071554574803</v>
      </c>
      <c r="AH213">
        <f t="shared" si="195"/>
        <v>-466.03219030766132</v>
      </c>
      <c r="AJ213">
        <f t="shared" si="179"/>
        <v>10500</v>
      </c>
      <c r="AK213">
        <f t="shared" si="180"/>
        <v>233.82308607273004</v>
      </c>
      <c r="AL213">
        <v>1</v>
      </c>
      <c r="AM213">
        <f t="shared" si="181"/>
        <v>10.650590959555261</v>
      </c>
      <c r="AN213">
        <f t="shared" si="196"/>
        <v>113.5172288306747</v>
      </c>
      <c r="AO213">
        <f t="shared" si="197"/>
        <v>-975.2024850650198</v>
      </c>
      <c r="AQ213">
        <f t="shared" si="182"/>
        <v>0.31209038137444606</v>
      </c>
      <c r="AR213">
        <f t="shared" si="183"/>
        <v>-55.864178266025839</v>
      </c>
      <c r="AT213">
        <f t="shared" si="156"/>
        <v>-25816.325869023665</v>
      </c>
      <c r="AU213">
        <f t="shared" si="157"/>
        <v>-39199.572521377115</v>
      </c>
      <c r="AV213">
        <f t="shared" si="198"/>
        <v>-2.1531843834916389</v>
      </c>
      <c r="AW213">
        <f t="shared" si="199"/>
        <v>-53818.408346218064</v>
      </c>
      <c r="AX213">
        <f t="shared" si="200"/>
        <v>-8454.4615414538457</v>
      </c>
      <c r="AY213">
        <f t="shared" si="208"/>
        <v>-2.9857737189620246</v>
      </c>
      <c r="BA213">
        <f t="shared" si="184"/>
        <v>0.86157180659347787</v>
      </c>
      <c r="BB213">
        <f t="shared" si="201"/>
        <v>-1.2941704198563699</v>
      </c>
      <c r="BC213">
        <f t="shared" si="202"/>
        <v>0.83258933547038572</v>
      </c>
      <c r="BD213">
        <f t="shared" si="185"/>
        <v>-132.29614495543544</v>
      </c>
      <c r="BF213">
        <f t="shared" si="186"/>
        <v>-12.768904195868117</v>
      </c>
      <c r="BG213">
        <f t="shared" si="187"/>
        <v>-124.60795696323481</v>
      </c>
      <c r="BH213">
        <f t="shared" si="203"/>
        <v>55.392043036765187</v>
      </c>
      <c r="BI213">
        <f t="shared" si="204"/>
        <v>55.392043036765187</v>
      </c>
      <c r="BJ213">
        <f t="shared" si="188"/>
        <v>0</v>
      </c>
      <c r="BK213">
        <f t="shared" si="205"/>
        <v>0</v>
      </c>
      <c r="BM213">
        <f t="shared" si="206"/>
        <v>-11.474733776011748</v>
      </c>
      <c r="BN213">
        <f t="shared" si="189"/>
        <v>-172.3118120077994</v>
      </c>
      <c r="BQ213" s="56">
        <f t="shared" si="207"/>
        <v>15.607790380428767</v>
      </c>
      <c r="BR213" s="59"/>
      <c r="BS213" s="59"/>
      <c r="BT213" s="59">
        <v>10715.192999999999</v>
      </c>
      <c r="BU213" s="59">
        <v>-2.5136799999999999</v>
      </c>
      <c r="BV213" s="59">
        <v>-209.68</v>
      </c>
      <c r="BW213" s="61"/>
      <c r="BY213" s="59"/>
      <c r="BZ213" s="59"/>
      <c r="CA213" s="59"/>
      <c r="CC213" s="59"/>
    </row>
    <row r="214" spans="1:81" x14ac:dyDescent="0.2">
      <c r="A214">
        <f t="shared" si="190"/>
        <v>90000</v>
      </c>
      <c r="B214">
        <f t="shared" si="191"/>
        <v>90</v>
      </c>
      <c r="C214">
        <f t="shared" si="159"/>
        <v>1.0015975997468469</v>
      </c>
      <c r="D214">
        <f t="shared" si="160"/>
        <v>5.6488506883840633E-2</v>
      </c>
      <c r="F214">
        <f t="shared" si="161"/>
        <v>1.7562049545308711E-2</v>
      </c>
      <c r="G214">
        <f t="shared" si="162"/>
        <v>7.7561654633339569E-2</v>
      </c>
      <c r="H214">
        <f t="shared" si="163"/>
        <v>-3.0640309953666605</v>
      </c>
      <c r="J214">
        <f t="shared" si="164"/>
        <v>15</v>
      </c>
      <c r="M214">
        <f t="shared" si="165"/>
        <v>8.8641015468535998E-3</v>
      </c>
      <c r="N214">
        <f t="shared" si="166"/>
        <v>-1.5707963250000001</v>
      </c>
      <c r="O214">
        <f t="shared" si="167"/>
        <v>10.227764121453855</v>
      </c>
      <c r="P214">
        <f t="shared" si="168"/>
        <v>1.4728667946114642</v>
      </c>
      <c r="Q214">
        <f t="shared" si="169"/>
        <v>10.756675101847103</v>
      </c>
      <c r="R214">
        <f t="shared" si="170"/>
        <v>1.4776963629856934</v>
      </c>
      <c r="S214">
        <f t="shared" si="171"/>
        <v>0.99974936493380695</v>
      </c>
      <c r="T214">
        <f t="shared" si="172"/>
        <v>-2.2389530434958265E-2</v>
      </c>
      <c r="U214">
        <f t="shared" si="173"/>
        <v>0.88147632482042948</v>
      </c>
      <c r="V214">
        <f t="shared" si="174"/>
        <v>-0.49181689521106725</v>
      </c>
      <c r="X214">
        <f t="shared" si="192"/>
        <v>-12.888900022990541</v>
      </c>
      <c r="Y214">
        <f t="shared" si="175"/>
        <v>-122.72653320464821</v>
      </c>
      <c r="Z214">
        <f t="shared" si="193"/>
        <v>57.273466795351794</v>
      </c>
      <c r="AC214">
        <v>1</v>
      </c>
      <c r="AD214">
        <f t="shared" si="176"/>
        <v>10.178760186000002</v>
      </c>
      <c r="AE214">
        <f t="shared" si="177"/>
        <v>-5.7559532735610439E-3</v>
      </c>
      <c r="AF214">
        <f t="shared" si="178"/>
        <v>1.0744246863E-2</v>
      </c>
      <c r="AG214">
        <f t="shared" si="194"/>
        <v>697.3633397089576</v>
      </c>
      <c r="AH214">
        <f t="shared" si="195"/>
        <v>-466.66749768435926</v>
      </c>
      <c r="AJ214">
        <f t="shared" si="179"/>
        <v>10500</v>
      </c>
      <c r="AK214">
        <f t="shared" si="180"/>
        <v>235.12936029660005</v>
      </c>
      <c r="AL214">
        <v>1</v>
      </c>
      <c r="AM214">
        <f t="shared" si="181"/>
        <v>10.710091467709201</v>
      </c>
      <c r="AN214">
        <f t="shared" si="196"/>
        <v>112.51145394005903</v>
      </c>
      <c r="AO214">
        <f t="shared" si="197"/>
        <v>-969.87860256638294</v>
      </c>
      <c r="AQ214">
        <f t="shared" si="182"/>
        <v>0.30863244961575259</v>
      </c>
      <c r="AR214">
        <f t="shared" si="183"/>
        <v>-55.55384093083547</v>
      </c>
      <c r="AT214">
        <f t="shared" ref="AT214:AT277" si="209">-AR214*AH214+AG214*AQ214</f>
        <v>-25709.942978141327</v>
      </c>
      <c r="AU214">
        <f t="shared" ref="AU214:AU277" si="210">AQ214*AH214+AG214*AR214</f>
        <v>-38885.240778153988</v>
      </c>
      <c r="AV214">
        <f t="shared" si="198"/>
        <v>-2.1549872557887038</v>
      </c>
      <c r="AW214">
        <f t="shared" si="199"/>
        <v>-53222.956858526522</v>
      </c>
      <c r="AX214">
        <f t="shared" si="200"/>
        <v>-8350.7571343082618</v>
      </c>
      <c r="AY214">
        <f t="shared" si="208"/>
        <v>-2.9859600865595275</v>
      </c>
      <c r="BA214">
        <f t="shared" si="184"/>
        <v>0.86527901264120222</v>
      </c>
      <c r="BB214">
        <f t="shared" si="201"/>
        <v>-1.256876599561666</v>
      </c>
      <c r="BC214">
        <f t="shared" si="202"/>
        <v>0.83097283077082373</v>
      </c>
      <c r="BD214">
        <f t="shared" si="185"/>
        <v>-132.38876385238925</v>
      </c>
      <c r="BF214">
        <f t="shared" si="186"/>
        <v>-12.829681955529406</v>
      </c>
      <c r="BG214">
        <f t="shared" si="187"/>
        <v>-124.70825534563154</v>
      </c>
      <c r="BH214">
        <f t="shared" si="203"/>
        <v>55.291744654368458</v>
      </c>
      <c r="BI214">
        <f t="shared" si="204"/>
        <v>55.291744654368458</v>
      </c>
      <c r="BJ214">
        <f t="shared" si="188"/>
        <v>0</v>
      </c>
      <c r="BK214">
        <f t="shared" si="205"/>
        <v>0</v>
      </c>
      <c r="BM214">
        <f t="shared" si="206"/>
        <v>-11.572805355967741</v>
      </c>
      <c r="BN214">
        <f t="shared" si="189"/>
        <v>-172.31949149324231</v>
      </c>
      <c r="BQ214" s="56">
        <f t="shared" si="207"/>
        <v>15.645084200723471</v>
      </c>
      <c r="BR214" s="59"/>
      <c r="BS214" s="59"/>
      <c r="BT214" s="59">
        <v>10964.781999999999</v>
      </c>
      <c r="BU214" s="59">
        <v>-2.5043700000000002</v>
      </c>
      <c r="BV214" s="59">
        <v>-209.52500000000001</v>
      </c>
      <c r="BW214" s="61"/>
      <c r="BY214" s="59"/>
      <c r="BZ214" s="59"/>
      <c r="CA214" s="59"/>
      <c r="CC214" s="59"/>
    </row>
    <row r="215" spans="1:81" x14ac:dyDescent="0.2">
      <c r="A215">
        <f t="shared" si="190"/>
        <v>90500</v>
      </c>
      <c r="B215">
        <f t="shared" si="191"/>
        <v>90.5</v>
      </c>
      <c r="C215">
        <f t="shared" si="159"/>
        <v>1.0016153858095689</v>
      </c>
      <c r="D215">
        <f t="shared" si="160"/>
        <v>5.6801659191967627E-2</v>
      </c>
      <c r="F215">
        <f t="shared" si="161"/>
        <v>1.7365686625715707E-2</v>
      </c>
      <c r="G215">
        <f t="shared" si="162"/>
        <v>7.7119631514811979E-2</v>
      </c>
      <c r="H215">
        <f t="shared" si="163"/>
        <v>-3.064473018485188</v>
      </c>
      <c r="J215">
        <f t="shared" si="164"/>
        <v>15</v>
      </c>
      <c r="M215">
        <f t="shared" si="165"/>
        <v>8.8151286101306528E-3</v>
      </c>
      <c r="N215">
        <f t="shared" si="166"/>
        <v>-1.5707963250000001</v>
      </c>
      <c r="O215">
        <f t="shared" si="167"/>
        <v>10.284043335703599</v>
      </c>
      <c r="P215">
        <f t="shared" si="168"/>
        <v>1.47340441755787</v>
      </c>
      <c r="Q215">
        <f t="shared" si="169"/>
        <v>10.81591934726659</v>
      </c>
      <c r="R215">
        <f t="shared" si="170"/>
        <v>1.4782077847455017</v>
      </c>
      <c r="S215">
        <f t="shared" si="171"/>
        <v>0.99974657342556561</v>
      </c>
      <c r="T215">
        <f t="shared" si="172"/>
        <v>-2.2513874803289452E-2</v>
      </c>
      <c r="U215">
        <f t="shared" si="173"/>
        <v>0.88038327909037217</v>
      </c>
      <c r="V215">
        <f t="shared" si="174"/>
        <v>-0.49412657407584021</v>
      </c>
      <c r="X215">
        <f t="shared" si="192"/>
        <v>-12.949961865900141</v>
      </c>
      <c r="Y215">
        <f t="shared" si="175"/>
        <v>-122.81327038259273</v>
      </c>
      <c r="Z215">
        <f t="shared" si="193"/>
        <v>57.186729617407266</v>
      </c>
      <c r="AC215">
        <v>1</v>
      </c>
      <c r="AD215">
        <f t="shared" si="176"/>
        <v>10.235308853700001</v>
      </c>
      <c r="AE215">
        <f t="shared" si="177"/>
        <v>-5.8200859628127575E-3</v>
      </c>
      <c r="AF215">
        <f t="shared" si="178"/>
        <v>1.080393712335E-2</v>
      </c>
      <c r="AG215">
        <f t="shared" si="194"/>
        <v>695.63492704991916</v>
      </c>
      <c r="AH215">
        <f t="shared" si="195"/>
        <v>-467.29770976305565</v>
      </c>
      <c r="AJ215">
        <f t="shared" si="179"/>
        <v>10500</v>
      </c>
      <c r="AK215">
        <f t="shared" si="180"/>
        <v>236.43563452047002</v>
      </c>
      <c r="AL215">
        <v>1</v>
      </c>
      <c r="AM215">
        <f t="shared" si="181"/>
        <v>10.769591975863142</v>
      </c>
      <c r="AN215">
        <f t="shared" si="196"/>
        <v>111.52211325450295</v>
      </c>
      <c r="AO215">
        <f t="shared" si="197"/>
        <v>-964.61202151652537</v>
      </c>
      <c r="AQ215">
        <f t="shared" si="182"/>
        <v>0.30523167083816616</v>
      </c>
      <c r="AR215">
        <f t="shared" si="183"/>
        <v>-55.246932421708074</v>
      </c>
      <c r="AT215">
        <f t="shared" si="209"/>
        <v>-25604.435181021654</v>
      </c>
      <c r="AU215">
        <f t="shared" si="210"/>
        <v>-38574.329865636537</v>
      </c>
      <c r="AV215">
        <f t="shared" si="198"/>
        <v>-2.1567900044420907</v>
      </c>
      <c r="AW215">
        <f t="shared" si="199"/>
        <v>-52637.249200295359</v>
      </c>
      <c r="AX215">
        <f t="shared" si="200"/>
        <v>-8249.1604454806948</v>
      </c>
      <c r="AY215">
        <f t="shared" si="208"/>
        <v>-2.9861399131880613</v>
      </c>
      <c r="BA215">
        <f t="shared" si="184"/>
        <v>0.86897341886428303</v>
      </c>
      <c r="BB215">
        <f t="shared" si="201"/>
        <v>-1.2198701607188189</v>
      </c>
      <c r="BC215">
        <f t="shared" si="202"/>
        <v>0.82934990874597059</v>
      </c>
      <c r="BD215">
        <f t="shared" si="185"/>
        <v>-132.48175043499842</v>
      </c>
      <c r="BF215">
        <f t="shared" si="186"/>
        <v>-12.890186044307999</v>
      </c>
      <c r="BG215">
        <f t="shared" si="187"/>
        <v>-124.80862568178752</v>
      </c>
      <c r="BH215">
        <f t="shared" si="203"/>
        <v>55.191374318212482</v>
      </c>
      <c r="BI215">
        <f t="shared" si="204"/>
        <v>55.191374318212482</v>
      </c>
      <c r="BJ215">
        <f t="shared" si="188"/>
        <v>0</v>
      </c>
      <c r="BK215">
        <f t="shared" si="205"/>
        <v>0</v>
      </c>
      <c r="BM215">
        <f t="shared" si="206"/>
        <v>-11.670315883589177</v>
      </c>
      <c r="BN215">
        <f t="shared" si="189"/>
        <v>-172.32687524678911</v>
      </c>
      <c r="BQ215" s="56">
        <f t="shared" si="207"/>
        <v>15.682090639566317</v>
      </c>
      <c r="BR215" s="59"/>
      <c r="BS215" s="59"/>
      <c r="BT215" s="59">
        <v>11220.184999999999</v>
      </c>
      <c r="BU215" s="59">
        <v>-2.7486899999999999</v>
      </c>
      <c r="BV215" s="59">
        <v>-207.815</v>
      </c>
      <c r="BW215" s="61"/>
      <c r="BY215" s="59"/>
      <c r="BZ215" s="59"/>
      <c r="CA215" s="59"/>
      <c r="CC215" s="59"/>
    </row>
    <row r="216" spans="1:81" x14ac:dyDescent="0.2">
      <c r="A216">
        <f t="shared" si="190"/>
        <v>91000</v>
      </c>
      <c r="B216">
        <f t="shared" si="191"/>
        <v>91</v>
      </c>
      <c r="C216">
        <f t="shared" si="159"/>
        <v>1.0016332700915769</v>
      </c>
      <c r="D216">
        <f t="shared" si="160"/>
        <v>5.7114800348057757E-2</v>
      </c>
      <c r="F216">
        <f t="shared" si="161"/>
        <v>1.717261405539177E-2</v>
      </c>
      <c r="G216">
        <f t="shared" si="162"/>
        <v>7.6682690567467751E-2</v>
      </c>
      <c r="H216">
        <f t="shared" si="163"/>
        <v>-3.0649099594325326</v>
      </c>
      <c r="J216">
        <f t="shared" si="164"/>
        <v>15</v>
      </c>
      <c r="M216">
        <f t="shared" si="165"/>
        <v>8.7666938375475165E-3</v>
      </c>
      <c r="N216">
        <f t="shared" si="166"/>
        <v>-1.5707963250000001</v>
      </c>
      <c r="O216">
        <f t="shared" si="167"/>
        <v>10.340325490079978</v>
      </c>
      <c r="P216">
        <f t="shared" si="168"/>
        <v>1.4739361881178645</v>
      </c>
      <c r="Q216">
        <f t="shared" si="169"/>
        <v>10.875166390791232</v>
      </c>
      <c r="R216">
        <f t="shared" si="170"/>
        <v>1.478713634266088</v>
      </c>
      <c r="S216">
        <f t="shared" si="171"/>
        <v>0.99974376647548313</v>
      </c>
      <c r="T216">
        <f t="shared" si="172"/>
        <v>-2.2638218475309349E-2</v>
      </c>
      <c r="U216">
        <f t="shared" si="173"/>
        <v>0.87928826755622758</v>
      </c>
      <c r="V216">
        <f t="shared" si="174"/>
        <v>-0.49643051969692997</v>
      </c>
      <c r="X216">
        <f t="shared" si="192"/>
        <v>-13.01075293578527</v>
      </c>
      <c r="Y216">
        <f t="shared" si="175"/>
        <v>-122.90004306481207</v>
      </c>
      <c r="Z216">
        <f t="shared" si="193"/>
        <v>57.099956935187933</v>
      </c>
      <c r="AC216">
        <v>1</v>
      </c>
      <c r="AD216">
        <f t="shared" si="176"/>
        <v>10.291857521400001</v>
      </c>
      <c r="AE216">
        <f t="shared" si="177"/>
        <v>-5.8845739578220983E-3</v>
      </c>
      <c r="AF216">
        <f t="shared" si="178"/>
        <v>1.08636273837E-2</v>
      </c>
      <c r="AG216">
        <f t="shared" si="194"/>
        <v>693.90555628171296</v>
      </c>
      <c r="AH216">
        <f t="shared" si="195"/>
        <v>-467.92276521841734</v>
      </c>
      <c r="AJ216">
        <f t="shared" si="179"/>
        <v>10500</v>
      </c>
      <c r="AK216">
        <f t="shared" si="180"/>
        <v>237.74190874434004</v>
      </c>
      <c r="AL216">
        <v>1</v>
      </c>
      <c r="AM216">
        <f t="shared" si="181"/>
        <v>10.829092484017082</v>
      </c>
      <c r="AN216">
        <f t="shared" si="196"/>
        <v>110.54885168700913</v>
      </c>
      <c r="AO216">
        <f t="shared" si="197"/>
        <v>-959.4018301761696</v>
      </c>
      <c r="AQ216">
        <f t="shared" si="182"/>
        <v>0.30188679245283018</v>
      </c>
      <c r="AR216">
        <f t="shared" si="183"/>
        <v>-54.943396226415096</v>
      </c>
      <c r="AT216">
        <f t="shared" si="209"/>
        <v>-25499.784970104225</v>
      </c>
      <c r="AU216">
        <f t="shared" si="210"/>
        <v>-38266.787625204583</v>
      </c>
      <c r="AV216">
        <f t="shared" si="198"/>
        <v>-2.1585925349656421</v>
      </c>
      <c r="AW216">
        <f t="shared" si="199"/>
        <v>-52061.074996955969</v>
      </c>
      <c r="AX216">
        <f t="shared" si="200"/>
        <v>-8149.6159897139823</v>
      </c>
      <c r="AY216">
        <f t="shared" si="208"/>
        <v>-2.9863132984518206</v>
      </c>
      <c r="BA216">
        <f t="shared" si="184"/>
        <v>0.8726550184491414</v>
      </c>
      <c r="BB216">
        <f t="shared" si="201"/>
        <v>-1.1831481887621593</v>
      </c>
      <c r="BC216">
        <f t="shared" si="202"/>
        <v>0.82772076348617851</v>
      </c>
      <c r="BD216">
        <f t="shared" si="185"/>
        <v>-132.57509358270491</v>
      </c>
      <c r="BF216">
        <f t="shared" si="186"/>
        <v>-12.950419986144501</v>
      </c>
      <c r="BG216">
        <f t="shared" si="187"/>
        <v>-124.90906203504559</v>
      </c>
      <c r="BH216">
        <f t="shared" si="203"/>
        <v>55.090937964954406</v>
      </c>
      <c r="BI216">
        <f t="shared" si="204"/>
        <v>55.090937964954406</v>
      </c>
      <c r="BJ216">
        <f t="shared" si="188"/>
        <v>0</v>
      </c>
      <c r="BK216">
        <f t="shared" si="205"/>
        <v>0</v>
      </c>
      <c r="BM216">
        <f t="shared" si="206"/>
        <v>-11.767271797382342</v>
      </c>
      <c r="BN216">
        <f t="shared" si="189"/>
        <v>-172.33396845234071</v>
      </c>
      <c r="BQ216" s="56">
        <f t="shared" si="207"/>
        <v>15.718812611522976</v>
      </c>
      <c r="BR216" s="59"/>
      <c r="BS216" s="59"/>
      <c r="BT216" s="59">
        <v>11481.536</v>
      </c>
      <c r="BU216" s="59">
        <v>-2.86917</v>
      </c>
      <c r="BV216" s="59">
        <v>-207.916</v>
      </c>
      <c r="BW216" s="61"/>
      <c r="BY216" s="59"/>
      <c r="BZ216" s="59"/>
      <c r="CA216" s="59"/>
      <c r="CC216" s="59"/>
    </row>
    <row r="217" spans="1:81" x14ac:dyDescent="0.2">
      <c r="A217">
        <f t="shared" si="190"/>
        <v>91500</v>
      </c>
      <c r="B217">
        <f t="shared" si="191"/>
        <v>91.5</v>
      </c>
      <c r="C217">
        <f t="shared" si="159"/>
        <v>1.0016512525876096</v>
      </c>
      <c r="D217">
        <f t="shared" si="160"/>
        <v>5.7427930291298432E-2</v>
      </c>
      <c r="F217">
        <f t="shared" si="161"/>
        <v>1.6982758399523366E-2</v>
      </c>
      <c r="G217">
        <f t="shared" si="162"/>
        <v>7.6250743495637444E-2</v>
      </c>
      <c r="H217">
        <f t="shared" si="163"/>
        <v>-3.0653419065043628</v>
      </c>
      <c r="J217">
        <f t="shared" si="164"/>
        <v>15</v>
      </c>
      <c r="M217">
        <f t="shared" si="165"/>
        <v>8.7187884067412465E-3</v>
      </c>
      <c r="N217">
        <f t="shared" si="166"/>
        <v>-1.5707963250000001</v>
      </c>
      <c r="O217">
        <f t="shared" si="167"/>
        <v>10.396610536833778</v>
      </c>
      <c r="P217">
        <f t="shared" si="168"/>
        <v>1.4744622010389707</v>
      </c>
      <c r="Q217">
        <f t="shared" si="169"/>
        <v>10.934416186937273</v>
      </c>
      <c r="R217">
        <f t="shared" si="170"/>
        <v>1.4792140018685229</v>
      </c>
      <c r="S217">
        <f t="shared" si="171"/>
        <v>0.99974094408394898</v>
      </c>
      <c r="T217">
        <f t="shared" si="172"/>
        <v>-2.2762561447178802E-2</v>
      </c>
      <c r="U217">
        <f t="shared" si="173"/>
        <v>0.87819133235369862</v>
      </c>
      <c r="V217">
        <f t="shared" si="174"/>
        <v>-0.49872872902667037</v>
      </c>
      <c r="X217">
        <f t="shared" si="192"/>
        <v>-13.07127665106643</v>
      </c>
      <c r="Y217">
        <f t="shared" si="175"/>
        <v>-122.9868455352719</v>
      </c>
      <c r="Z217">
        <f t="shared" si="193"/>
        <v>57.013154464728103</v>
      </c>
      <c r="AC217">
        <v>1</v>
      </c>
      <c r="AD217">
        <f t="shared" si="176"/>
        <v>10.3484061891</v>
      </c>
      <c r="AE217">
        <f t="shared" si="177"/>
        <v>-5.9494172585890679E-3</v>
      </c>
      <c r="AF217">
        <f t="shared" si="178"/>
        <v>1.0923317644049999E-2</v>
      </c>
      <c r="AG217">
        <f t="shared" si="194"/>
        <v>692.17530541733299</v>
      </c>
      <c r="AH217">
        <f t="shared" si="195"/>
        <v>-468.54260535093653</v>
      </c>
      <c r="AJ217">
        <f t="shared" si="179"/>
        <v>10500</v>
      </c>
      <c r="AK217">
        <f t="shared" si="180"/>
        <v>239.04818296821003</v>
      </c>
      <c r="AL217">
        <v>1</v>
      </c>
      <c r="AM217">
        <f t="shared" si="181"/>
        <v>10.888592992171022</v>
      </c>
      <c r="AN217">
        <f t="shared" si="196"/>
        <v>109.59132366205952</v>
      </c>
      <c r="AO217">
        <f t="shared" si="197"/>
        <v>-954.24713586123755</v>
      </c>
      <c r="AQ217">
        <f t="shared" si="182"/>
        <v>0.29859659599880561</v>
      </c>
      <c r="AR217">
        <f t="shared" si="183"/>
        <v>-54.64317706778143</v>
      </c>
      <c r="AT217">
        <f t="shared" si="209"/>
        <v>-25395.97535795881</v>
      </c>
      <c r="AU217">
        <f t="shared" si="210"/>
        <v>-37962.563002903218</v>
      </c>
      <c r="AV217">
        <f t="shared" si="198"/>
        <v>-2.1603947550930052</v>
      </c>
      <c r="AW217">
        <f t="shared" si="199"/>
        <v>-51494.229501642105</v>
      </c>
      <c r="AX217">
        <f t="shared" si="200"/>
        <v>-8052.070045190836</v>
      </c>
      <c r="AY217">
        <f t="shared" si="208"/>
        <v>-2.9864803398714779</v>
      </c>
      <c r="BA217">
        <f t="shared" si="184"/>
        <v>0.87632380542902144</v>
      </c>
      <c r="BB217">
        <f t="shared" si="201"/>
        <v>-1.1467078098185601</v>
      </c>
      <c r="BC217">
        <f t="shared" si="202"/>
        <v>0.82608558477847271</v>
      </c>
      <c r="BD217">
        <f t="shared" si="185"/>
        <v>-132.66878242151316</v>
      </c>
      <c r="BF217">
        <f t="shared" si="186"/>
        <v>-13.010387233993415</v>
      </c>
      <c r="BG217">
        <f t="shared" si="187"/>
        <v>-125.00955859386367</v>
      </c>
      <c r="BH217">
        <f t="shared" si="203"/>
        <v>54.990441406136327</v>
      </c>
      <c r="BI217">
        <f t="shared" si="204"/>
        <v>54.990441406136327</v>
      </c>
      <c r="BJ217">
        <f t="shared" si="188"/>
        <v>0</v>
      </c>
      <c r="BK217">
        <f t="shared" si="205"/>
        <v>0</v>
      </c>
      <c r="BM217">
        <f t="shared" si="206"/>
        <v>-11.863679424174851</v>
      </c>
      <c r="BN217">
        <f t="shared" si="189"/>
        <v>-172.34077617235053</v>
      </c>
      <c r="BQ217" s="56">
        <f t="shared" si="207"/>
        <v>15.755252990466577</v>
      </c>
      <c r="BR217" s="59"/>
      <c r="BS217" s="59"/>
      <c r="BT217" s="59">
        <v>11748.976000000001</v>
      </c>
      <c r="BU217" s="59">
        <v>-3.0396299999999998</v>
      </c>
      <c r="BV217" s="59">
        <v>-206.25700000000001</v>
      </c>
      <c r="BW217" s="61"/>
      <c r="BY217" s="59"/>
      <c r="BZ217" s="59"/>
      <c r="CA217" s="59"/>
      <c r="CC217" s="59"/>
    </row>
    <row r="218" spans="1:81" x14ac:dyDescent="0.2">
      <c r="A218">
        <f t="shared" si="190"/>
        <v>92000</v>
      </c>
      <c r="B218">
        <f t="shared" si="191"/>
        <v>92</v>
      </c>
      <c r="C218">
        <f t="shared" si="159"/>
        <v>1.0016693332923776</v>
      </c>
      <c r="D218">
        <f t="shared" si="160"/>
        <v>5.774104896089019E-2</v>
      </c>
      <c r="F218">
        <f t="shared" si="161"/>
        <v>1.6796048269419182E-2</v>
      </c>
      <c r="G218">
        <f t="shared" si="162"/>
        <v>7.5823704060917554E-2</v>
      </c>
      <c r="H218">
        <f t="shared" si="163"/>
        <v>-3.0657689459390824</v>
      </c>
      <c r="J218">
        <f t="shared" si="164"/>
        <v>15</v>
      </c>
      <c r="M218">
        <f t="shared" si="165"/>
        <v>8.6714036871393917E-3</v>
      </c>
      <c r="N218">
        <f t="shared" si="166"/>
        <v>-1.5707963250000001</v>
      </c>
      <c r="O218">
        <f t="shared" si="167"/>
        <v>10.452898429241811</v>
      </c>
      <c r="P218">
        <f t="shared" si="168"/>
        <v>1.4749825490407877</v>
      </c>
      <c r="Q218">
        <f t="shared" si="169"/>
        <v>10.993668691199387</v>
      </c>
      <c r="R218">
        <f t="shared" si="170"/>
        <v>1.4797089759377824</v>
      </c>
      <c r="S218">
        <f t="shared" si="171"/>
        <v>0.99973810625135651</v>
      </c>
      <c r="T218">
        <f t="shared" si="172"/>
        <v>-2.2886903715058773E-2</v>
      </c>
      <c r="U218">
        <f t="shared" si="173"/>
        <v>0.87709251537050836</v>
      </c>
      <c r="V218">
        <f t="shared" si="174"/>
        <v>-0.50102119927493272</v>
      </c>
      <c r="X218">
        <f t="shared" si="192"/>
        <v>-13.131536361295639</v>
      </c>
      <c r="Y218">
        <f t="shared" si="175"/>
        <v>-123.07367220194203</v>
      </c>
      <c r="Z218">
        <f t="shared" si="193"/>
        <v>56.926327798057969</v>
      </c>
      <c r="AC218">
        <v>1</v>
      </c>
      <c r="AD218">
        <f t="shared" si="176"/>
        <v>10.404954856800002</v>
      </c>
      <c r="AE218">
        <f t="shared" si="177"/>
        <v>-6.0146158651136639E-3</v>
      </c>
      <c r="AF218">
        <f t="shared" si="178"/>
        <v>1.0983007904399999E-2</v>
      </c>
      <c r="AG218">
        <f t="shared" si="194"/>
        <v>690.44425176771415</v>
      </c>
      <c r="AH218">
        <f t="shared" si="195"/>
        <v>-469.15717401918056</v>
      </c>
      <c r="AJ218">
        <f t="shared" si="179"/>
        <v>10500</v>
      </c>
      <c r="AK218">
        <f t="shared" si="180"/>
        <v>240.35445719208002</v>
      </c>
      <c r="AL218">
        <v>1</v>
      </c>
      <c r="AM218">
        <f t="shared" si="181"/>
        <v>10.948093500324962</v>
      </c>
      <c r="AN218">
        <f t="shared" si="196"/>
        <v>108.64919281238492</v>
      </c>
      <c r="AO218">
        <f t="shared" si="197"/>
        <v>-949.14706445274498</v>
      </c>
      <c r="AQ218">
        <f t="shared" si="182"/>
        <v>0.29535989603331658</v>
      </c>
      <c r="AR218">
        <f t="shared" si="183"/>
        <v>-54.346220870130253</v>
      </c>
      <c r="AT218">
        <f t="shared" si="209"/>
        <v>-25292.989859633606</v>
      </c>
      <c r="AU218">
        <f t="shared" si="210"/>
        <v>-37661.606019221603</v>
      </c>
      <c r="AV218">
        <f t="shared" si="198"/>
        <v>-2.1621965747231022</v>
      </c>
      <c r="AW218">
        <f t="shared" si="199"/>
        <v>-50936.513416036731</v>
      </c>
      <c r="AX218">
        <f t="shared" si="200"/>
        <v>-7956.4705881887157</v>
      </c>
      <c r="AY218">
        <f t="shared" si="208"/>
        <v>-2.9866411329401261</v>
      </c>
      <c r="BA218">
        <f t="shared" si="184"/>
        <v>0.87997977467161703</v>
      </c>
      <c r="BB218">
        <f t="shared" si="201"/>
        <v>-1.1105461899387374</v>
      </c>
      <c r="BC218">
        <f t="shared" si="202"/>
        <v>0.82444455821702389</v>
      </c>
      <c r="BD218">
        <f t="shared" si="185"/>
        <v>-132.76280631766048</v>
      </c>
      <c r="BF218">
        <f t="shared" si="186"/>
        <v>-13.07009117164905</v>
      </c>
      <c r="BG218">
        <f t="shared" si="187"/>
        <v>-125.11010966905918</v>
      </c>
      <c r="BH218">
        <f t="shared" si="203"/>
        <v>54.889890330940815</v>
      </c>
      <c r="BI218">
        <f t="shared" si="204"/>
        <v>54.889890330940815</v>
      </c>
      <c r="BJ218">
        <f t="shared" si="188"/>
        <v>0</v>
      </c>
      <c r="BK218">
        <f t="shared" si="205"/>
        <v>0</v>
      </c>
      <c r="BM218">
        <f t="shared" si="206"/>
        <v>-11.959544981710312</v>
      </c>
      <c r="BN218">
        <f t="shared" si="189"/>
        <v>-172.34730335139872</v>
      </c>
      <c r="BQ218" s="56">
        <f t="shared" si="207"/>
        <v>15.791414610346399</v>
      </c>
      <c r="BR218" s="59"/>
      <c r="BS218" s="59"/>
      <c r="BT218" s="59">
        <v>12022.644</v>
      </c>
      <c r="BU218" s="59">
        <v>-3.2097500000000001</v>
      </c>
      <c r="BV218" s="59">
        <v>-205.79599999999999</v>
      </c>
      <c r="BW218" s="61"/>
      <c r="BY218" s="59"/>
      <c r="BZ218" s="59"/>
      <c r="CA218" s="59"/>
      <c r="CC218" s="59"/>
    </row>
    <row r="219" spans="1:81" x14ac:dyDescent="0.2">
      <c r="A219">
        <f t="shared" si="190"/>
        <v>92500</v>
      </c>
      <c r="B219">
        <f t="shared" si="191"/>
        <v>92.5</v>
      </c>
      <c r="C219">
        <f t="shared" si="159"/>
        <v>1.0016875122005631</v>
      </c>
      <c r="D219">
        <f t="shared" si="160"/>
        <v>5.8054156296046808E-2</v>
      </c>
      <c r="F219">
        <f t="shared" si="161"/>
        <v>1.6612414254195452E-2</v>
      </c>
      <c r="G219">
        <f t="shared" si="162"/>
        <v>7.540148802200225E-2</v>
      </c>
      <c r="H219">
        <f t="shared" si="163"/>
        <v>-3.066191161977998</v>
      </c>
      <c r="J219">
        <f t="shared" si="164"/>
        <v>15</v>
      </c>
      <c r="M219">
        <f t="shared" si="165"/>
        <v>8.6245312347764756E-3</v>
      </c>
      <c r="N219">
        <f t="shared" si="166"/>
        <v>-1.5707963250000001</v>
      </c>
      <c r="O219">
        <f t="shared" si="167"/>
        <v>10.509189121579547</v>
      </c>
      <c r="P219">
        <f t="shared" si="168"/>
        <v>1.4754973228687895</v>
      </c>
      <c r="Q219">
        <f t="shared" si="169"/>
        <v>11.052923860024576</v>
      </c>
      <c r="R219">
        <f t="shared" si="170"/>
        <v>1.480198642974202</v>
      </c>
      <c r="S219">
        <f t="shared" si="171"/>
        <v>0.99973525297810018</v>
      </c>
      <c r="T219">
        <f t="shared" si="172"/>
        <v>-2.3011245275110368E-2</v>
      </c>
      <c r="U219">
        <f t="shared" si="173"/>
        <v>0.87599185824461079</v>
      </c>
      <c r="V219">
        <f t="shared" si="174"/>
        <v>-0.50330792790679435</v>
      </c>
      <c r="X219">
        <f t="shared" si="192"/>
        <v>-13.19153534892604</v>
      </c>
      <c r="Y219">
        <f t="shared" si="175"/>
        <v>-123.16051759407942</v>
      </c>
      <c r="Z219">
        <f t="shared" si="193"/>
        <v>56.839482405920577</v>
      </c>
      <c r="AC219">
        <v>1</v>
      </c>
      <c r="AD219">
        <f t="shared" si="176"/>
        <v>10.461503524500001</v>
      </c>
      <c r="AE219">
        <f t="shared" si="177"/>
        <v>-6.0801697773958862E-3</v>
      </c>
      <c r="AF219">
        <f t="shared" si="178"/>
        <v>1.1042698164749998E-2</v>
      </c>
      <c r="AG219">
        <f t="shared" si="194"/>
        <v>688.71247193992861</v>
      </c>
      <c r="AH219">
        <f t="shared" si="195"/>
        <v>-469.76641757392531</v>
      </c>
      <c r="AJ219">
        <f t="shared" si="179"/>
        <v>10500</v>
      </c>
      <c r="AK219">
        <f t="shared" si="180"/>
        <v>241.66073141595001</v>
      </c>
      <c r="AL219">
        <v>1</v>
      </c>
      <c r="AM219">
        <f t="shared" si="181"/>
        <v>11.0075940084789</v>
      </c>
      <c r="AN219">
        <f t="shared" si="196"/>
        <v>107.72213168692063</v>
      </c>
      <c r="AO219">
        <f t="shared" si="197"/>
        <v>-944.1007599215726</v>
      </c>
      <c r="AQ219">
        <f t="shared" si="182"/>
        <v>0.29217553906386956</v>
      </c>
      <c r="AR219">
        <f t="shared" si="183"/>
        <v>-54.052474726815873</v>
      </c>
      <c r="AT219">
        <f t="shared" si="209"/>
        <v>-25190.81247567237</v>
      </c>
      <c r="AU219">
        <f t="shared" si="210"/>
        <v>-37363.86773986464</v>
      </c>
      <c r="AV219">
        <f t="shared" si="198"/>
        <v>-2.1639979058672494</v>
      </c>
      <c r="AW219">
        <f t="shared" si="199"/>
        <v>-50387.732717817104</v>
      </c>
      <c r="AX219">
        <f t="shared" si="200"/>
        <v>-7862.767230493173</v>
      </c>
      <c r="AY219">
        <f t="shared" si="208"/>
        <v>-2.9867957711774307</v>
      </c>
      <c r="BA219">
        <f t="shared" si="184"/>
        <v>0.88362292186686464</v>
      </c>
      <c r="BB219">
        <f t="shared" si="201"/>
        <v>-1.0746605343467082</v>
      </c>
      <c r="BC219">
        <f t="shared" si="202"/>
        <v>0.82279786531018129</v>
      </c>
      <c r="BD219">
        <f t="shared" si="185"/>
        <v>-132.85715487148448</v>
      </c>
      <c r="BF219">
        <f t="shared" si="186"/>
        <v>-13.129535115514075</v>
      </c>
      <c r="BG219">
        <f t="shared" si="187"/>
        <v>-125.21070969112388</v>
      </c>
      <c r="BH219">
        <f t="shared" si="203"/>
        <v>54.789290308876119</v>
      </c>
      <c r="BI219">
        <f t="shared" si="204"/>
        <v>54.789290308876119</v>
      </c>
      <c r="BJ219">
        <f t="shared" si="188"/>
        <v>0</v>
      </c>
      <c r="BK219">
        <f t="shared" si="205"/>
        <v>0</v>
      </c>
      <c r="BM219">
        <f t="shared" si="206"/>
        <v>-12.054874581167368</v>
      </c>
      <c r="BN219">
        <f t="shared" si="189"/>
        <v>-172.35355481963938</v>
      </c>
      <c r="BQ219" s="56">
        <f t="shared" si="207"/>
        <v>15.82730026593843</v>
      </c>
      <c r="BR219" s="59"/>
      <c r="BS219" s="59"/>
      <c r="BT219" s="59">
        <v>12302.688</v>
      </c>
      <c r="BU219" s="59">
        <v>-3.2360000000000002</v>
      </c>
      <c r="BV219" s="59">
        <v>-205.58</v>
      </c>
      <c r="BW219" s="61"/>
      <c r="BY219" s="59"/>
      <c r="BZ219" s="59"/>
      <c r="CA219" s="59"/>
      <c r="CC219" s="59"/>
    </row>
    <row r="220" spans="1:81" x14ac:dyDescent="0.2">
      <c r="A220">
        <f t="shared" si="190"/>
        <v>93000</v>
      </c>
      <c r="B220">
        <f t="shared" si="191"/>
        <v>93</v>
      </c>
      <c r="C220">
        <f t="shared" si="159"/>
        <v>1.0017057893068191</v>
      </c>
      <c r="D220">
        <f t="shared" si="160"/>
        <v>5.836725223599535E-2</v>
      </c>
      <c r="F220">
        <f t="shared" si="161"/>
        <v>1.6431788855117826E-2</v>
      </c>
      <c r="G220">
        <f t="shared" si="162"/>
        <v>7.4984013076632092E-2</v>
      </c>
      <c r="H220">
        <f t="shared" si="163"/>
        <v>-3.0666086369233683</v>
      </c>
      <c r="J220">
        <f t="shared" si="164"/>
        <v>15</v>
      </c>
      <c r="M220">
        <f t="shared" si="165"/>
        <v>8.5781627872776774E-3</v>
      </c>
      <c r="N220">
        <f t="shared" si="166"/>
        <v>-1.5707963250000001</v>
      </c>
      <c r="O220">
        <f t="shared" si="167"/>
        <v>10.565482569094666</v>
      </c>
      <c r="P220">
        <f t="shared" si="168"/>
        <v>1.4760066113464247</v>
      </c>
      <c r="Q220">
        <f t="shared" si="169"/>
        <v>11.112181650786882</v>
      </c>
      <c r="R220">
        <f t="shared" si="170"/>
        <v>1.4806830876433057</v>
      </c>
      <c r="S220">
        <f t="shared" si="171"/>
        <v>0.99973238426457667</v>
      </c>
      <c r="T220">
        <f t="shared" si="172"/>
        <v>-2.3135586123494815E-2</v>
      </c>
      <c r="U220">
        <f t="shared" si="173"/>
        <v>0.87488940236247126</v>
      </c>
      <c r="V220">
        <f t="shared" si="174"/>
        <v>-0.50558891264020211</v>
      </c>
      <c r="X220">
        <f t="shared" si="192"/>
        <v>-13.251276831026082</v>
      </c>
      <c r="Y220">
        <f t="shared" si="175"/>
        <v>-123.24737635958024</v>
      </c>
      <c r="Z220">
        <f t="shared" si="193"/>
        <v>56.752623640419756</v>
      </c>
      <c r="AC220">
        <v>1</v>
      </c>
      <c r="AD220">
        <f t="shared" si="176"/>
        <v>10.518052192200001</v>
      </c>
      <c r="AE220">
        <f t="shared" si="177"/>
        <v>-6.1460789954357366E-3</v>
      </c>
      <c r="AF220">
        <f t="shared" si="178"/>
        <v>1.11023884251E-2</v>
      </c>
      <c r="AG220">
        <f t="shared" si="194"/>
        <v>686.98004183555804</v>
      </c>
      <c r="AH220">
        <f t="shared" si="195"/>
        <v>-470.37028479410725</v>
      </c>
      <c r="AJ220">
        <f t="shared" si="179"/>
        <v>10500</v>
      </c>
      <c r="AK220">
        <f t="shared" si="180"/>
        <v>242.96700563982003</v>
      </c>
      <c r="AL220">
        <v>1</v>
      </c>
      <c r="AM220">
        <f t="shared" si="181"/>
        <v>11.06709451663284</v>
      </c>
      <c r="AN220">
        <f t="shared" si="196"/>
        <v>106.80982146948041</v>
      </c>
      <c r="AO220">
        <f t="shared" si="197"/>
        <v>-939.1073838675992</v>
      </c>
      <c r="AQ220">
        <f t="shared" si="182"/>
        <v>0.28904240252044977</v>
      </c>
      <c r="AR220">
        <f t="shared" si="183"/>
        <v>-53.76188686880365</v>
      </c>
      <c r="AT220">
        <f t="shared" si="209"/>
        <v>-25089.427675772</v>
      </c>
      <c r="AU220">
        <f t="shared" si="210"/>
        <v>-37069.300247480387</v>
      </c>
      <c r="AV220">
        <f t="shared" si="198"/>
        <v>-2.1657986625978616</v>
      </c>
      <c r="AW220">
        <f t="shared" si="199"/>
        <v>-49847.698494422926</v>
      </c>
      <c r="AX220">
        <f t="shared" si="200"/>
        <v>-7770.911159439238</v>
      </c>
      <c r="AY220">
        <f t="shared" si="208"/>
        <v>-2.9869443461820477</v>
      </c>
      <c r="BA220">
        <f t="shared" si="184"/>
        <v>0.88725324351490209</v>
      </c>
      <c r="BB220">
        <f t="shared" si="201"/>
        <v>-1.039048086706875</v>
      </c>
      <c r="BC220">
        <f t="shared" si="202"/>
        <v>0.82114568358418616</v>
      </c>
      <c r="BD220">
        <f t="shared" si="185"/>
        <v>-132.95181791148082</v>
      </c>
      <c r="BF220">
        <f t="shared" si="186"/>
        <v>-13.188722316312729</v>
      </c>
      <c r="BG220">
        <f t="shared" si="187"/>
        <v>-125.31135320760748</v>
      </c>
      <c r="BH220">
        <f t="shared" si="203"/>
        <v>54.688646792392518</v>
      </c>
      <c r="BI220">
        <f t="shared" si="204"/>
        <v>54.688646792392518</v>
      </c>
      <c r="BJ220">
        <f t="shared" si="188"/>
        <v>0</v>
      </c>
      <c r="BK220">
        <f t="shared" si="205"/>
        <v>0</v>
      </c>
      <c r="BM220">
        <f t="shared" si="206"/>
        <v>-12.149674229605855</v>
      </c>
      <c r="BN220">
        <f t="shared" si="189"/>
        <v>-172.35953529612667</v>
      </c>
      <c r="BQ220" s="56">
        <f t="shared" si="207"/>
        <v>15.862912713578261</v>
      </c>
      <c r="BR220" s="59"/>
      <c r="BS220" s="59"/>
      <c r="BT220" s="59">
        <v>12589.254000000001</v>
      </c>
      <c r="BU220" s="59">
        <v>-3.6465100000000001</v>
      </c>
      <c r="BV220" s="59">
        <v>-203.78</v>
      </c>
      <c r="BW220" s="61"/>
      <c r="BY220" s="59"/>
      <c r="BZ220" s="59"/>
      <c r="CA220" s="59"/>
      <c r="CC220" s="59"/>
    </row>
    <row r="221" spans="1:81" x14ac:dyDescent="0.2">
      <c r="A221">
        <f t="shared" si="190"/>
        <v>93500</v>
      </c>
      <c r="B221">
        <f t="shared" si="191"/>
        <v>93.5</v>
      </c>
      <c r="C221">
        <f t="shared" si="159"/>
        <v>1.0017241646057709</v>
      </c>
      <c r="D221">
        <f t="shared" si="160"/>
        <v>5.8680336719976217E-2</v>
      </c>
      <c r="F221">
        <f t="shared" si="161"/>
        <v>1.6254106422482002E-2</v>
      </c>
      <c r="G221">
        <f t="shared" si="162"/>
        <v>7.4571198805572961E-2</v>
      </c>
      <c r="H221">
        <f t="shared" si="163"/>
        <v>-3.0670214511944272</v>
      </c>
      <c r="J221">
        <f t="shared" si="164"/>
        <v>15</v>
      </c>
      <c r="M221">
        <f t="shared" si="165"/>
        <v>8.5322902590034659E-3</v>
      </c>
      <c r="N221">
        <f t="shared" si="166"/>
        <v>-1.5707963250000001</v>
      </c>
      <c r="O221">
        <f t="shared" si="167"/>
        <v>10.621778727981383</v>
      </c>
      <c r="P221">
        <f t="shared" si="168"/>
        <v>1.4765105014255817</v>
      </c>
      <c r="Q221">
        <f t="shared" si="169"/>
        <v>11.1714420217629</v>
      </c>
      <c r="R221">
        <f t="shared" si="170"/>
        <v>1.4811623928240643</v>
      </c>
      <c r="S221">
        <f t="shared" si="171"/>
        <v>0.99972950011118533</v>
      </c>
      <c r="T221">
        <f t="shared" si="172"/>
        <v>-2.3259926256373475E-2</v>
      </c>
      <c r="U221">
        <f t="shared" si="173"/>
        <v>0.87378518885740919</v>
      </c>
      <c r="V221">
        <f t="shared" si="174"/>
        <v>-0.50786415144363006</v>
      </c>
      <c r="X221">
        <f t="shared" si="192"/>
        <v>-13.310763960940534</v>
      </c>
      <c r="Y221">
        <f t="shared" si="175"/>
        <v>-123.33424326239924</v>
      </c>
      <c r="Z221">
        <f t="shared" si="193"/>
        <v>56.665756737600759</v>
      </c>
      <c r="AC221">
        <v>1</v>
      </c>
      <c r="AD221">
        <f t="shared" si="176"/>
        <v>10.5746008599</v>
      </c>
      <c r="AE221">
        <f t="shared" si="177"/>
        <v>-6.2123435192332141E-3</v>
      </c>
      <c r="AF221">
        <f t="shared" si="178"/>
        <v>1.1162078685449999E-2</v>
      </c>
      <c r="AG221">
        <f t="shared" si="194"/>
        <v>685.24703664922788</v>
      </c>
      <c r="AH221">
        <f t="shared" si="195"/>
        <v>-470.96872682452874</v>
      </c>
      <c r="AJ221">
        <f t="shared" si="179"/>
        <v>10500</v>
      </c>
      <c r="AK221">
        <f t="shared" si="180"/>
        <v>244.27327986369005</v>
      </c>
      <c r="AL221">
        <v>1</v>
      </c>
      <c r="AM221">
        <f t="shared" si="181"/>
        <v>11.126595024786781</v>
      </c>
      <c r="AN221">
        <f t="shared" si="196"/>
        <v>105.91195170770334</v>
      </c>
      <c r="AO221">
        <f t="shared" si="197"/>
        <v>-934.16611507269977</v>
      </c>
      <c r="AQ221">
        <f t="shared" si="182"/>
        <v>0.2859593937660852</v>
      </c>
      <c r="AR221">
        <f t="shared" si="183"/>
        <v>-53.474406634257939</v>
      </c>
      <c r="AT221">
        <f t="shared" si="209"/>
        <v>-24988.820383053375</v>
      </c>
      <c r="AU221">
        <f t="shared" si="210"/>
        <v>-36777.856614306591</v>
      </c>
      <c r="AV221">
        <f t="shared" si="198"/>
        <v>-2.1675987609986911</v>
      </c>
      <c r="AW221">
        <f t="shared" si="199"/>
        <v>-49316.226782885184</v>
      </c>
      <c r="AX221">
        <f t="shared" si="200"/>
        <v>-7680.8550804573379</v>
      </c>
      <c r="AY221">
        <f t="shared" si="208"/>
        <v>-2.9870869476823763</v>
      </c>
      <c r="BA221">
        <f t="shared" si="184"/>
        <v>0.89087073691417484</v>
      </c>
      <c r="BB221">
        <f t="shared" si="201"/>
        <v>-1.0037061284083899</v>
      </c>
      <c r="BC221">
        <f t="shared" si="202"/>
        <v>0.81948818668368517</v>
      </c>
      <c r="BD221">
        <f t="shared" si="185"/>
        <v>-133.04678548854406</v>
      </c>
      <c r="BF221">
        <f t="shared" si="186"/>
        <v>-13.247655960750947</v>
      </c>
      <c r="BG221">
        <f t="shared" si="187"/>
        <v>-125.41203488056856</v>
      </c>
      <c r="BH221">
        <f t="shared" si="203"/>
        <v>54.587965119431445</v>
      </c>
      <c r="BI221">
        <f t="shared" si="204"/>
        <v>54.587965119431445</v>
      </c>
      <c r="BJ221">
        <f t="shared" si="188"/>
        <v>0</v>
      </c>
      <c r="BK221">
        <f t="shared" si="205"/>
        <v>0</v>
      </c>
      <c r="BM221">
        <f t="shared" si="206"/>
        <v>-12.243949832342558</v>
      </c>
      <c r="BN221">
        <f t="shared" si="189"/>
        <v>-172.36524939202451</v>
      </c>
      <c r="BQ221" s="56">
        <f t="shared" si="207"/>
        <v>15.898254671876748</v>
      </c>
      <c r="BR221" s="59"/>
      <c r="BS221" s="59"/>
      <c r="BT221" s="59">
        <v>12882.495999999999</v>
      </c>
      <c r="BU221" s="59">
        <v>-3.6234700000000002</v>
      </c>
      <c r="BV221" s="59">
        <v>-201.71899999999999</v>
      </c>
      <c r="BW221" s="61"/>
      <c r="BY221" s="59"/>
      <c r="BZ221" s="59"/>
      <c r="CA221" s="59"/>
      <c r="CC221" s="59"/>
    </row>
    <row r="222" spans="1:81" x14ac:dyDescent="0.2">
      <c r="A222">
        <f t="shared" si="190"/>
        <v>94000</v>
      </c>
      <c r="B222">
        <f t="shared" si="191"/>
        <v>94</v>
      </c>
      <c r="C222">
        <f t="shared" si="159"/>
        <v>1.0017426380920147</v>
      </c>
      <c r="D222">
        <f t="shared" si="160"/>
        <v>5.8993409687243287E-2</v>
      </c>
      <c r="F222">
        <f t="shared" si="161"/>
        <v>1.6079303094921071E-2</v>
      </c>
      <c r="G222">
        <f t="shared" si="162"/>
        <v>7.4162966618542173E-2</v>
      </c>
      <c r="H222">
        <f t="shared" si="163"/>
        <v>-3.0674296833814578</v>
      </c>
      <c r="J222">
        <f t="shared" si="164"/>
        <v>15</v>
      </c>
      <c r="M222">
        <f t="shared" si="165"/>
        <v>8.4869057363491911E-3</v>
      </c>
      <c r="N222">
        <f t="shared" si="166"/>
        <v>-1.5707963250000001</v>
      </c>
      <c r="O222">
        <f t="shared" si="167"/>
        <v>10.678077555355632</v>
      </c>
      <c r="P222">
        <f t="shared" si="168"/>
        <v>1.4770090782354754</v>
      </c>
      <c r="Q222">
        <f t="shared" si="169"/>
        <v>11.230704932108061</v>
      </c>
      <c r="R222">
        <f t="shared" si="170"/>
        <v>1.4816366396556453</v>
      </c>
      <c r="S222">
        <f t="shared" si="171"/>
        <v>0.9997266005183274</v>
      </c>
      <c r="T222">
        <f t="shared" si="172"/>
        <v>-2.3384265669907849E-2</v>
      </c>
      <c r="U222">
        <f t="shared" si="173"/>
        <v>0.87267925860800999</v>
      </c>
      <c r="V222">
        <f t="shared" si="174"/>
        <v>-0.51013364253373317</v>
      </c>
      <c r="X222">
        <f t="shared" si="192"/>
        <v>-13.369999829900152</v>
      </c>
      <c r="Y222">
        <f t="shared" si="175"/>
        <v>-123.42111318003374</v>
      </c>
      <c r="Z222">
        <f t="shared" si="193"/>
        <v>56.578886819966257</v>
      </c>
      <c r="AC222">
        <v>1</v>
      </c>
      <c r="AD222">
        <f t="shared" si="176"/>
        <v>10.6311495276</v>
      </c>
      <c r="AE222">
        <f t="shared" si="177"/>
        <v>-6.2789633487883188E-3</v>
      </c>
      <c r="AF222">
        <f t="shared" si="178"/>
        <v>1.1221768945799999E-2</v>
      </c>
      <c r="AG222">
        <f t="shared" si="194"/>
        <v>683.51353086730978</v>
      </c>
      <c r="AH222">
        <f t="shared" si="195"/>
        <v>-471.56169711525661</v>
      </c>
      <c r="AJ222">
        <f t="shared" si="179"/>
        <v>10500</v>
      </c>
      <c r="AK222">
        <f t="shared" si="180"/>
        <v>245.57955408756001</v>
      </c>
      <c r="AL222">
        <v>1</v>
      </c>
      <c r="AM222">
        <f t="shared" si="181"/>
        <v>11.186095532940721</v>
      </c>
      <c r="AN222">
        <f t="shared" si="196"/>
        <v>105.02822005184763</v>
      </c>
      <c r="AO222">
        <f t="shared" si="197"/>
        <v>-929.27614906712768</v>
      </c>
      <c r="AQ222">
        <f t="shared" si="182"/>
        <v>0.28292544914415052</v>
      </c>
      <c r="AR222">
        <f t="shared" si="183"/>
        <v>-53.1899844391003</v>
      </c>
      <c r="AT222">
        <f t="shared" si="209"/>
        <v>-24888.975958919491</v>
      </c>
      <c r="AU222">
        <f t="shared" si="210"/>
        <v>-36489.49087570222</v>
      </c>
      <c r="AV222">
        <f t="shared" si="198"/>
        <v>-2.1693981191165355</v>
      </c>
      <c r="AW222">
        <f t="shared" si="199"/>
        <v>-48793.138415464673</v>
      </c>
      <c r="AX222">
        <f t="shared" si="200"/>
        <v>-7592.5531620064721</v>
      </c>
      <c r="AY222">
        <f t="shared" si="208"/>
        <v>-2.9872236635857075</v>
      </c>
      <c r="BA222">
        <f t="shared" si="184"/>
        <v>0.89447540014970073</v>
      </c>
      <c r="BB222">
        <f t="shared" si="201"/>
        <v>-0.96863197786618516</v>
      </c>
      <c r="BC222">
        <f t="shared" si="202"/>
        <v>0.81782554446917199</v>
      </c>
      <c r="BD222">
        <f t="shared" si="185"/>
        <v>-133.1420478703848</v>
      </c>
      <c r="BF222">
        <f t="shared" si="186"/>
        <v>-13.306339173125195</v>
      </c>
      <c r="BG222">
        <f t="shared" si="187"/>
        <v>-125.51274948408974</v>
      </c>
      <c r="BH222">
        <f t="shared" si="203"/>
        <v>54.487250515910262</v>
      </c>
      <c r="BI222">
        <f t="shared" si="204"/>
        <v>54.487250515910262</v>
      </c>
      <c r="BJ222">
        <f t="shared" si="188"/>
        <v>0</v>
      </c>
      <c r="BK222">
        <f t="shared" si="205"/>
        <v>0</v>
      </c>
      <c r="BM222">
        <f t="shared" si="206"/>
        <v>-12.337707195259011</v>
      </c>
      <c r="BN222">
        <f t="shared" si="189"/>
        <v>-172.37070161370494</v>
      </c>
      <c r="BQ222" s="56">
        <f t="shared" si="207"/>
        <v>15.93332882241895</v>
      </c>
      <c r="BR222" s="59"/>
      <c r="BS222" s="59"/>
      <c r="BT222" s="59">
        <v>13182.566999999999</v>
      </c>
      <c r="BU222" s="59">
        <v>-4.1132799999999996</v>
      </c>
      <c r="BV222" s="59">
        <v>-198.27600000000001</v>
      </c>
      <c r="BW222" s="61"/>
      <c r="BY222" s="59"/>
      <c r="BZ222" s="59"/>
      <c r="CA222" s="59"/>
      <c r="CC222" s="59"/>
    </row>
    <row r="223" spans="1:81" x14ac:dyDescent="0.2">
      <c r="A223">
        <f t="shared" si="190"/>
        <v>94500</v>
      </c>
      <c r="B223">
        <f t="shared" si="191"/>
        <v>94.5</v>
      </c>
      <c r="C223">
        <f t="shared" si="159"/>
        <v>1.0017612097601185</v>
      </c>
      <c r="D223">
        <f t="shared" si="160"/>
        <v>5.9306471077063889E-2</v>
      </c>
      <c r="F223">
        <f t="shared" si="161"/>
        <v>1.5907316741033205E-2</v>
      </c>
      <c r="G223">
        <f t="shared" si="162"/>
        <v>7.3759239702002849E-2</v>
      </c>
      <c r="H223">
        <f t="shared" si="163"/>
        <v>-3.0678334102979972</v>
      </c>
      <c r="J223">
        <f t="shared" si="164"/>
        <v>15</v>
      </c>
      <c r="M223">
        <f t="shared" si="165"/>
        <v>8.4420014731939053E-3</v>
      </c>
      <c r="N223">
        <f t="shared" si="166"/>
        <v>-1.5707963250000001</v>
      </c>
      <c r="O223">
        <f t="shared" si="167"/>
        <v>10.73437900923099</v>
      </c>
      <c r="P223">
        <f t="shared" si="168"/>
        <v>1.4775024251300151</v>
      </c>
      <c r="Q223">
        <f t="shared" si="169"/>
        <v>11.289970341833669</v>
      </c>
      <c r="R223">
        <f t="shared" si="170"/>
        <v>1.4821059075827037</v>
      </c>
      <c r="S223">
        <f t="shared" si="171"/>
        <v>0.99972368548640578</v>
      </c>
      <c r="T223">
        <f t="shared" si="172"/>
        <v>-2.3508604360259561E-2</v>
      </c>
      <c r="U223">
        <f t="shared" si="173"/>
        <v>0.87157165223659983</v>
      </c>
      <c r="V223">
        <f t="shared" si="174"/>
        <v>-0.51239738437299676</v>
      </c>
      <c r="X223">
        <f t="shared" si="192"/>
        <v>-13.428987468581951</v>
      </c>
      <c r="Y223">
        <f t="shared" si="175"/>
        <v>-123.50798110107139</v>
      </c>
      <c r="Z223">
        <f t="shared" si="193"/>
        <v>56.492018898928606</v>
      </c>
      <c r="AC223">
        <v>1</v>
      </c>
      <c r="AD223">
        <f t="shared" si="176"/>
        <v>10.687698195300001</v>
      </c>
      <c r="AE223">
        <f t="shared" si="177"/>
        <v>-6.3459384841010507E-3</v>
      </c>
      <c r="AF223">
        <f t="shared" si="178"/>
        <v>1.1281459206149999E-2</v>
      </c>
      <c r="AG223">
        <f t="shared" si="194"/>
        <v>681.77959826678511</v>
      </c>
      <c r="AH223">
        <f t="shared" si="195"/>
        <v>-472.14915136265614</v>
      </c>
      <c r="AJ223">
        <f t="shared" si="179"/>
        <v>10500</v>
      </c>
      <c r="AK223">
        <f t="shared" si="180"/>
        <v>246.88582831143003</v>
      </c>
      <c r="AL223">
        <v>1</v>
      </c>
      <c r="AM223">
        <f t="shared" si="181"/>
        <v>11.245596041094661</v>
      </c>
      <c r="AN223">
        <f t="shared" si="196"/>
        <v>104.15833200302615</v>
      </c>
      <c r="AO223">
        <f t="shared" si="197"/>
        <v>-924.43669770882411</v>
      </c>
      <c r="AQ223">
        <f t="shared" si="182"/>
        <v>0.27993953306085884</v>
      </c>
      <c r="AR223">
        <f t="shared" si="183"/>
        <v>-52.908571748502325</v>
      </c>
      <c r="AT223">
        <f t="shared" si="209"/>
        <v>-24789.880188476352</v>
      </c>
      <c r="AU223">
        <f t="shared" si="210"/>
        <v>-36204.158004530836</v>
      </c>
      <c r="AV223">
        <f t="shared" si="198"/>
        <v>-2.1711966569143746</v>
      </c>
      <c r="AW223">
        <f t="shared" si="199"/>
        <v>-48278.258870862017</v>
      </c>
      <c r="AX223">
        <f t="shared" si="200"/>
        <v>-7505.960982783633</v>
      </c>
      <c r="AY223">
        <f t="shared" si="208"/>
        <v>-2.9873545800258237</v>
      </c>
      <c r="BA223">
        <f t="shared" si="184"/>
        <v>0.89806723208147776</v>
      </c>
      <c r="BB223">
        <f t="shared" si="201"/>
        <v>-0.93382298983832901</v>
      </c>
      <c r="BC223">
        <f t="shared" si="202"/>
        <v>0.81615792311144908</v>
      </c>
      <c r="BD223">
        <f t="shared" si="185"/>
        <v>-133.2375955361174</v>
      </c>
      <c r="BF223">
        <f t="shared" si="186"/>
        <v>-13.364775016882009</v>
      </c>
      <c r="BG223">
        <f t="shared" si="187"/>
        <v>-125.61349190185656</v>
      </c>
      <c r="BH223">
        <f t="shared" si="203"/>
        <v>54.386508098143437</v>
      </c>
      <c r="BI223">
        <f t="shared" si="204"/>
        <v>54.386508098143437</v>
      </c>
      <c r="BJ223">
        <f t="shared" si="188"/>
        <v>0</v>
      </c>
      <c r="BK223">
        <f t="shared" si="205"/>
        <v>0</v>
      </c>
      <c r="BM223">
        <f t="shared" si="206"/>
        <v>-12.430952027043681</v>
      </c>
      <c r="BN223">
        <f t="shared" si="189"/>
        <v>-172.37589636573921</v>
      </c>
      <c r="BQ223" s="56">
        <f t="shared" si="207"/>
        <v>15.968137810446807</v>
      </c>
      <c r="BR223" s="59"/>
      <c r="BS223" s="59"/>
      <c r="BT223" s="59">
        <v>13489.629000000001</v>
      </c>
      <c r="BU223" s="59">
        <v>-3.8779599999999999</v>
      </c>
      <c r="BV223" s="59">
        <v>-197.578</v>
      </c>
      <c r="BW223" s="61"/>
      <c r="BY223" s="59"/>
      <c r="BZ223" s="59"/>
      <c r="CA223" s="59"/>
      <c r="CC223" s="59"/>
    </row>
    <row r="224" spans="1:81" x14ac:dyDescent="0.2">
      <c r="A224">
        <f t="shared" si="190"/>
        <v>95000</v>
      </c>
      <c r="B224">
        <f t="shared" si="191"/>
        <v>95</v>
      </c>
      <c r="C224">
        <f t="shared" si="159"/>
        <v>1.001779879604622</v>
      </c>
      <c r="D224">
        <f t="shared" si="160"/>
        <v>5.961952082871895E-2</v>
      </c>
      <c r="F224">
        <f t="shared" si="161"/>
        <v>1.573808690322847E-2</v>
      </c>
      <c r="G224">
        <f t="shared" si="162"/>
        <v>7.3359942968751118E-2</v>
      </c>
      <c r="H224">
        <f t="shared" si="163"/>
        <v>-3.0682327070312492</v>
      </c>
      <c r="J224">
        <f t="shared" si="164"/>
        <v>15</v>
      </c>
      <c r="M224">
        <f t="shared" si="165"/>
        <v>8.3975698864928849E-3</v>
      </c>
      <c r="N224">
        <f t="shared" si="166"/>
        <v>-1.5707963250000001</v>
      </c>
      <c r="O224">
        <f t="shared" si="167"/>
        <v>10.790683048495369</v>
      </c>
      <c r="P224">
        <f t="shared" si="168"/>
        <v>1.4779906237337064</v>
      </c>
      <c r="Q224">
        <f t="shared" si="169"/>
        <v>11.349238211784639</v>
      </c>
      <c r="R224">
        <f t="shared" si="170"/>
        <v>1.4825702743992715</v>
      </c>
      <c r="S224">
        <f t="shared" si="171"/>
        <v>0.99972075501582625</v>
      </c>
      <c r="T224">
        <f t="shared" si="172"/>
        <v>-2.3632942323590377E-2</v>
      </c>
      <c r="U224">
        <f t="shared" si="173"/>
        <v>0.87046241010778358</v>
      </c>
      <c r="V224">
        <f t="shared" si="174"/>
        <v>-0.51465537566738218</v>
      </c>
      <c r="X224">
        <f t="shared" si="192"/>
        <v>-13.48772984862191</v>
      </c>
      <c r="Y224">
        <f t="shared" si="175"/>
        <v>-123.59484212279857</v>
      </c>
      <c r="Z224">
        <f t="shared" si="193"/>
        <v>56.405157877201432</v>
      </c>
      <c r="AC224">
        <v>1</v>
      </c>
      <c r="AD224">
        <f t="shared" si="176"/>
        <v>10.744246863000001</v>
      </c>
      <c r="AE224">
        <f t="shared" si="177"/>
        <v>-6.4132689251714106E-3</v>
      </c>
      <c r="AF224">
        <f t="shared" si="178"/>
        <v>1.1341149466499998E-2</v>
      </c>
      <c r="AG224">
        <f t="shared" si="194"/>
        <v>680.04531191426861</v>
      </c>
      <c r="AH224">
        <f t="shared" si="195"/>
        <v>-472.73104745200379</v>
      </c>
      <c r="AJ224">
        <f t="shared" si="179"/>
        <v>10500</v>
      </c>
      <c r="AK224">
        <f t="shared" si="180"/>
        <v>248.19210253530005</v>
      </c>
      <c r="AL224">
        <v>1</v>
      </c>
      <c r="AM224">
        <f t="shared" si="181"/>
        <v>11.305096549248601</v>
      </c>
      <c r="AN224">
        <f t="shared" si="196"/>
        <v>103.30200067049687</v>
      </c>
      <c r="AO224">
        <f t="shared" si="197"/>
        <v>-919.64698877521096</v>
      </c>
      <c r="AQ224">
        <f t="shared" si="182"/>
        <v>0.27700063710146533</v>
      </c>
      <c r="AR224">
        <f t="shared" si="183"/>
        <v>-52.630121049278415</v>
      </c>
      <c r="AT224">
        <f t="shared" si="209"/>
        <v>-24691.519266493022</v>
      </c>
      <c r="AU224">
        <f t="shared" si="210"/>
        <v>-35921.813886364107</v>
      </c>
      <c r="AV224">
        <f t="shared" si="198"/>
        <v>-2.1729942962258737</v>
      </c>
      <c r="AW224">
        <f t="shared" si="199"/>
        <v>-47771.418130770617</v>
      </c>
      <c r="AX224">
        <f t="shared" si="200"/>
        <v>-7421.035481104037</v>
      </c>
      <c r="AY224">
        <f t="shared" si="208"/>
        <v>-2.9874797814091081</v>
      </c>
      <c r="BA224">
        <f t="shared" si="184"/>
        <v>0.90164623233303787</v>
      </c>
      <c r="BB224">
        <f t="shared" si="201"/>
        <v>-0.89927655475920232</v>
      </c>
      <c r="BC224">
        <f t="shared" si="202"/>
        <v>0.81448548518323438</v>
      </c>
      <c r="BD224">
        <f t="shared" si="185"/>
        <v>-133.33341917101117</v>
      </c>
      <c r="BF224">
        <f t="shared" si="186"/>
        <v>-13.42296649612998</v>
      </c>
      <c r="BG224">
        <f t="shared" si="187"/>
        <v>-125.71425712479726</v>
      </c>
      <c r="BH224">
        <f t="shared" si="203"/>
        <v>54.285742875202743</v>
      </c>
      <c r="BI224">
        <f t="shared" si="204"/>
        <v>54.285742875202743</v>
      </c>
      <c r="BJ224">
        <f t="shared" si="188"/>
        <v>0</v>
      </c>
      <c r="BK224">
        <f t="shared" si="205"/>
        <v>0</v>
      </c>
      <c r="BM224">
        <f t="shared" si="206"/>
        <v>-12.523689941370776</v>
      </c>
      <c r="BN224">
        <f t="shared" si="189"/>
        <v>-172.38083795378608</v>
      </c>
      <c r="BQ224" s="56">
        <f t="shared" si="207"/>
        <v>16.002684245525934</v>
      </c>
      <c r="BR224" s="59"/>
      <c r="BS224" s="59"/>
      <c r="BT224" s="59">
        <v>13803.843000000001</v>
      </c>
      <c r="BU224" s="59">
        <v>-4.0306600000000001</v>
      </c>
      <c r="BV224" s="59">
        <v>-195.64599999999999</v>
      </c>
      <c r="BW224" s="61"/>
      <c r="BY224" s="59"/>
      <c r="BZ224" s="59"/>
      <c r="CA224" s="59"/>
      <c r="CC224" s="59"/>
    </row>
    <row r="225" spans="1:81" x14ac:dyDescent="0.2">
      <c r="A225">
        <f t="shared" si="190"/>
        <v>95500</v>
      </c>
      <c r="B225">
        <f t="shared" si="191"/>
        <v>95.5</v>
      </c>
      <c r="C225">
        <f t="shared" si="159"/>
        <v>1.001798647620036</v>
      </c>
      <c r="D225">
        <f t="shared" si="160"/>
        <v>5.993255888150302E-2</v>
      </c>
      <c r="F225">
        <f t="shared" si="161"/>
        <v>1.5571554743698554E-2</v>
      </c>
      <c r="G225">
        <f t="shared" si="162"/>
        <v>7.2965003009223858E-2</v>
      </c>
      <c r="H225">
        <f t="shared" si="163"/>
        <v>-3.0686276469907763</v>
      </c>
      <c r="J225">
        <f t="shared" si="164"/>
        <v>15</v>
      </c>
      <c r="M225">
        <f t="shared" si="165"/>
        <v>8.3536035520086292E-3</v>
      </c>
      <c r="N225">
        <f t="shared" si="166"/>
        <v>-1.5707963250000001</v>
      </c>
      <c r="O225">
        <f t="shared" si="167"/>
        <v>10.84698963288843</v>
      </c>
      <c r="P225">
        <f t="shared" si="168"/>
        <v>1.4784737539861417</v>
      </c>
      <c r="Q225">
        <f t="shared" si="169"/>
        <v>11.408508503617924</v>
      </c>
      <c r="R225">
        <f t="shared" si="170"/>
        <v>1.4830298162912923</v>
      </c>
      <c r="S225">
        <f t="shared" si="171"/>
        <v>0.99971780910699637</v>
      </c>
      <c r="T225">
        <f t="shared" si="172"/>
        <v>-2.3757279556062195E-2</v>
      </c>
      <c r="U225">
        <f t="shared" si="173"/>
        <v>0.86935157232704896</v>
      </c>
      <c r="V225">
        <f t="shared" si="174"/>
        <v>-0.51690761536396979</v>
      </c>
      <c r="X225">
        <f t="shared" si="192"/>
        <v>-13.546229884081749</v>
      </c>
      <c r="Y225">
        <f t="shared" si="175"/>
        <v>-123.68169144886966</v>
      </c>
      <c r="Z225">
        <f t="shared" si="193"/>
        <v>56.318308551130343</v>
      </c>
      <c r="AC225">
        <v>1</v>
      </c>
      <c r="AD225">
        <f t="shared" si="176"/>
        <v>10.800795530700002</v>
      </c>
      <c r="AE225">
        <f t="shared" si="177"/>
        <v>-6.4809546719993977E-3</v>
      </c>
      <c r="AF225">
        <f t="shared" si="178"/>
        <v>1.140083972685E-2</v>
      </c>
      <c r="AG225">
        <f t="shared" si="194"/>
        <v>678.31074416519095</v>
      </c>
      <c r="AH225">
        <f t="shared" si="195"/>
        <v>-473.30734540162695</v>
      </c>
      <c r="AJ225">
        <f t="shared" si="179"/>
        <v>10500</v>
      </c>
      <c r="AK225">
        <f t="shared" si="180"/>
        <v>249.49837675917001</v>
      </c>
      <c r="AL225">
        <v>1</v>
      </c>
      <c r="AM225">
        <f t="shared" si="181"/>
        <v>11.364597057402541</v>
      </c>
      <c r="AN225">
        <f t="shared" si="196"/>
        <v>102.45894653763867</v>
      </c>
      <c r="AO225">
        <f t="shared" si="197"/>
        <v>-914.90626556704274</v>
      </c>
      <c r="AQ225">
        <f t="shared" si="182"/>
        <v>0.2741077791787731</v>
      </c>
      <c r="AR225">
        <f t="shared" si="183"/>
        <v>-52.354585823145662</v>
      </c>
      <c r="AT225">
        <f t="shared" si="209"/>
        <v>-24593.879783878503</v>
      </c>
      <c r="AU225">
        <f t="shared" si="210"/>
        <v>-35642.41529547533</v>
      </c>
      <c r="AV225">
        <f t="shared" si="198"/>
        <v>-2.1747909607112139</v>
      </c>
      <c r="AW225">
        <f t="shared" si="199"/>
        <v>-47272.450541555438</v>
      </c>
      <c r="AX225">
        <f t="shared" si="200"/>
        <v>-7337.7349063521706</v>
      </c>
      <c r="AY225">
        <f t="shared" si="208"/>
        <v>-2.9875993504592193</v>
      </c>
      <c r="BA225">
        <f t="shared" si="184"/>
        <v>0.9052124012801398</v>
      </c>
      <c r="BB225">
        <f t="shared" si="201"/>
        <v>-0.8649900980881009</v>
      </c>
      <c r="BC225">
        <f t="shared" si="202"/>
        <v>0.8128083897480054</v>
      </c>
      <c r="BD225">
        <f t="shared" si="185"/>
        <v>-133.42950966140026</v>
      </c>
      <c r="BF225">
        <f t="shared" si="186"/>
        <v>-13.480916557105934</v>
      </c>
      <c r="BG225">
        <f t="shared" si="187"/>
        <v>-125.81504024878214</v>
      </c>
      <c r="BH225">
        <f t="shared" si="203"/>
        <v>54.18495975121786</v>
      </c>
      <c r="BI225">
        <f t="shared" si="204"/>
        <v>54.18495975121786</v>
      </c>
      <c r="BJ225">
        <f t="shared" si="188"/>
        <v>0</v>
      </c>
      <c r="BK225">
        <f t="shared" si="205"/>
        <v>0</v>
      </c>
      <c r="BM225">
        <f t="shared" si="206"/>
        <v>-12.615926459017832</v>
      </c>
      <c r="BN225">
        <f t="shared" si="189"/>
        <v>-172.38553058738188</v>
      </c>
      <c r="BQ225" s="56">
        <f t="shared" si="207"/>
        <v>16.036970702197035</v>
      </c>
      <c r="BR225" s="59"/>
      <c r="BS225" s="59"/>
      <c r="BT225" s="59">
        <v>14125.375</v>
      </c>
      <c r="BU225" s="59">
        <v>-4.0179099999999996</v>
      </c>
      <c r="BV225" s="59">
        <v>-192.58199999999999</v>
      </c>
      <c r="BW225" s="61"/>
      <c r="BY225" s="59"/>
      <c r="BZ225" s="59"/>
      <c r="CA225" s="59"/>
      <c r="CC225" s="59"/>
    </row>
    <row r="226" spans="1:81" x14ac:dyDescent="0.2">
      <c r="A226">
        <f t="shared" si="190"/>
        <v>96000</v>
      </c>
      <c r="B226">
        <f t="shared" si="191"/>
        <v>96</v>
      </c>
      <c r="C226">
        <f t="shared" si="159"/>
        <v>1.0018175138008432</v>
      </c>
      <c r="D226">
        <f t="shared" si="160"/>
        <v>6.0245585174724378E-2</v>
      </c>
      <c r="F226">
        <f t="shared" si="161"/>
        <v>1.5407662992417815E-2</v>
      </c>
      <c r="G226">
        <f t="shared" si="162"/>
        <v>7.2574348044459183E-2</v>
      </c>
      <c r="H226">
        <f t="shared" si="163"/>
        <v>-3.0690183019555408</v>
      </c>
      <c r="J226">
        <f t="shared" si="164"/>
        <v>15</v>
      </c>
      <c r="M226">
        <f t="shared" si="165"/>
        <v>8.3100952001752496E-3</v>
      </c>
      <c r="N226">
        <f t="shared" si="166"/>
        <v>-1.5707963250000001</v>
      </c>
      <c r="O226">
        <f t="shared" si="167"/>
        <v>10.903298722979672</v>
      </c>
      <c r="P226">
        <f t="shared" si="168"/>
        <v>1.4789518941851267</v>
      </c>
      <c r="Q226">
        <f t="shared" si="169"/>
        <v>11.467781179781618</v>
      </c>
      <c r="R226">
        <f t="shared" si="170"/>
        <v>1.483484607877851</v>
      </c>
      <c r="S226">
        <f t="shared" si="171"/>
        <v>0.99971484776032582</v>
      </c>
      <c r="T226">
        <f t="shared" si="172"/>
        <v>-2.3881616053837054E-2</v>
      </c>
      <c r="U226">
        <f t="shared" si="173"/>
        <v>0.86823917873943046</v>
      </c>
      <c r="V226">
        <f t="shared" si="174"/>
        <v>-0.51915410264859962</v>
      </c>
      <c r="X226">
        <f t="shared" si="192"/>
        <v>-13.604490432871554</v>
      </c>
      <c r="Y226">
        <f t="shared" si="175"/>
        <v>-123.7685243870333</v>
      </c>
      <c r="Z226">
        <f t="shared" si="193"/>
        <v>56.231475612966705</v>
      </c>
      <c r="AC226">
        <v>1</v>
      </c>
      <c r="AD226">
        <f t="shared" si="176"/>
        <v>10.8573441984</v>
      </c>
      <c r="AE226">
        <f t="shared" si="177"/>
        <v>-6.5489957245850102E-3</v>
      </c>
      <c r="AF226">
        <f t="shared" si="178"/>
        <v>1.1460529987199999E-2</v>
      </c>
      <c r="AG226">
        <f t="shared" si="194"/>
        <v>676.57596666313304</v>
      </c>
      <c r="AH226">
        <f t="shared" si="195"/>
        <v>-473.87800730851609</v>
      </c>
      <c r="AJ226">
        <f t="shared" si="179"/>
        <v>10500</v>
      </c>
      <c r="AK226">
        <f t="shared" si="180"/>
        <v>250.80465098304003</v>
      </c>
      <c r="AL226">
        <v>1</v>
      </c>
      <c r="AM226">
        <f t="shared" si="181"/>
        <v>11.424097565556481</v>
      </c>
      <c r="AN226">
        <f t="shared" si="196"/>
        <v>101.62889723626014</v>
      </c>
      <c r="AO226">
        <f t="shared" si="197"/>
        <v>-910.21378652390933</v>
      </c>
      <c r="AQ226">
        <f t="shared" si="182"/>
        <v>0.27126000271260003</v>
      </c>
      <c r="AR226">
        <f t="shared" si="183"/>
        <v>-52.081920520819203</v>
      </c>
      <c r="AT226">
        <f t="shared" si="209"/>
        <v>-24496.948714653994</v>
      </c>
      <c r="AU226">
        <f t="shared" si="210"/>
        <v>-35365.919871593665</v>
      </c>
      <c r="AV226">
        <f t="shared" si="198"/>
        <v>-2.1765865758141945</v>
      </c>
      <c r="AW226">
        <f t="shared" si="199"/>
        <v>-46781.19468084984</v>
      </c>
      <c r="AX226">
        <f t="shared" si="200"/>
        <v>-7256.0187724087527</v>
      </c>
      <c r="AY226">
        <f t="shared" si="208"/>
        <v>-2.9877133682603749</v>
      </c>
      <c r="BA226">
        <f t="shared" si="184"/>
        <v>0.90876574003959554</v>
      </c>
      <c r="BB226">
        <f t="shared" si="201"/>
        <v>-0.83096107967287181</v>
      </c>
      <c r="BC226">
        <f t="shared" si="202"/>
        <v>0.81112679244618047</v>
      </c>
      <c r="BD226">
        <f t="shared" si="185"/>
        <v>-133.5258580897455</v>
      </c>
      <c r="BF226">
        <f t="shared" si="186"/>
        <v>-13.538628089596996</v>
      </c>
      <c r="BG226">
        <f t="shared" si="187"/>
        <v>-125.91583647238112</v>
      </c>
      <c r="BH226">
        <f t="shared" si="203"/>
        <v>54.084163527618884</v>
      </c>
      <c r="BI226">
        <f t="shared" si="204"/>
        <v>54.084163527618884</v>
      </c>
      <c r="BJ226">
        <f t="shared" si="188"/>
        <v>0</v>
      </c>
      <c r="BK226">
        <f t="shared" si="205"/>
        <v>0</v>
      </c>
      <c r="BM226">
        <f t="shared" si="206"/>
        <v>-12.707667009924124</v>
      </c>
      <c r="BN226">
        <f t="shared" si="189"/>
        <v>-172.3899783826356</v>
      </c>
      <c r="BQ226" s="56">
        <f t="shared" si="207"/>
        <v>16.070999720612264</v>
      </c>
      <c r="BR226" s="59"/>
      <c r="BS226" s="59"/>
      <c r="BT226" s="59">
        <v>14454.397999999999</v>
      </c>
      <c r="BU226" s="59">
        <v>-3.9652699999999999</v>
      </c>
      <c r="BV226" s="59">
        <v>-192.25399999999999</v>
      </c>
      <c r="BW226" s="61"/>
      <c r="BY226" s="59"/>
      <c r="BZ226" s="59"/>
      <c r="CA226" s="59"/>
      <c r="CC226" s="59"/>
    </row>
    <row r="227" spans="1:81" x14ac:dyDescent="0.2">
      <c r="A227">
        <f t="shared" si="190"/>
        <v>96500</v>
      </c>
      <c r="B227">
        <f t="shared" si="191"/>
        <v>96.5</v>
      </c>
      <c r="C227">
        <f t="shared" si="159"/>
        <v>1.0018364781414979</v>
      </c>
      <c r="D227">
        <f t="shared" si="160"/>
        <v>6.0558599647705054E-2</v>
      </c>
      <c r="F227">
        <f t="shared" si="161"/>
        <v>1.5246355897088575E-2</v>
      </c>
      <c r="G227">
        <f t="shared" si="162"/>
        <v>7.218790788064329E-2</v>
      </c>
      <c r="H227">
        <f t="shared" si="163"/>
        <v>-3.0694047421193571</v>
      </c>
      <c r="J227">
        <f t="shared" si="164"/>
        <v>15</v>
      </c>
      <c r="M227">
        <f t="shared" si="165"/>
        <v>8.267037712091441E-3</v>
      </c>
      <c r="N227">
        <f t="shared" si="166"/>
        <v>-1.5707963250000001</v>
      </c>
      <c r="O227">
        <f t="shared" si="167"/>
        <v>10.959610280147212</v>
      </c>
      <c r="P227">
        <f t="shared" si="168"/>
        <v>1.479425121028495</v>
      </c>
      <c r="Q227">
        <f t="shared" si="169"/>
        <v>11.5270562034947</v>
      </c>
      <c r="R227">
        <f t="shared" si="170"/>
        <v>1.4839347222511456</v>
      </c>
      <c r="S227">
        <f t="shared" si="171"/>
        <v>0.99971187097622638</v>
      </c>
      <c r="T227">
        <f t="shared" si="172"/>
        <v>-2.4005951813077114E-2</v>
      </c>
      <c r="U227">
        <f t="shared" si="173"/>
        <v>0.86712526892823727</v>
      </c>
      <c r="V227">
        <f t="shared" si="174"/>
        <v>-0.52139483694350985</v>
      </c>
      <c r="X227">
        <f t="shared" si="192"/>
        <v>-13.662514298129729</v>
      </c>
      <c r="Y227">
        <f t="shared" si="175"/>
        <v>-123.85533634691555</v>
      </c>
      <c r="Z227">
        <f t="shared" si="193"/>
        <v>56.14466365308445</v>
      </c>
      <c r="AC227">
        <v>1</v>
      </c>
      <c r="AD227">
        <f t="shared" si="176"/>
        <v>10.913892866100001</v>
      </c>
      <c r="AE227">
        <f t="shared" si="177"/>
        <v>-6.6173920829282491E-3</v>
      </c>
      <c r="AF227">
        <f t="shared" si="178"/>
        <v>1.1520220247549999E-2</v>
      </c>
      <c r="AG227">
        <f t="shared" si="194"/>
        <v>674.84105033931655</v>
      </c>
      <c r="AH227">
        <f t="shared" si="195"/>
        <v>-474.44299729536533</v>
      </c>
      <c r="AJ227">
        <f t="shared" si="179"/>
        <v>10500</v>
      </c>
      <c r="AK227">
        <f t="shared" si="180"/>
        <v>252.11092520691005</v>
      </c>
      <c r="AL227">
        <v>1</v>
      </c>
      <c r="AM227">
        <f t="shared" si="181"/>
        <v>11.483598073710422</v>
      </c>
      <c r="AN227">
        <f t="shared" si="196"/>
        <v>100.81158732890513</v>
      </c>
      <c r="AO227">
        <f t="shared" si="197"/>
        <v>-905.56882485099493</v>
      </c>
      <c r="AQ227">
        <f t="shared" si="182"/>
        <v>0.26845637583892618</v>
      </c>
      <c r="AR227">
        <f t="shared" si="183"/>
        <v>-51.812080536912752</v>
      </c>
      <c r="AT227">
        <f t="shared" si="209"/>
        <v>-24400.713403400321</v>
      </c>
      <c r="AU227">
        <f t="shared" si="210"/>
        <v>-35092.28609739153</v>
      </c>
      <c r="AV227">
        <f t="shared" si="198"/>
        <v>-2.1783810687205696</v>
      </c>
      <c r="AW227">
        <f t="shared" si="199"/>
        <v>-46297.493228872147</v>
      </c>
      <c r="AX227">
        <f t="shared" si="200"/>
        <v>-7175.8478129635278</v>
      </c>
      <c r="AY227">
        <f t="shared" si="208"/>
        <v>-2.9878219142993054</v>
      </c>
      <c r="BA227">
        <f t="shared" si="184"/>
        <v>0.9123062504582351</v>
      </c>
      <c r="BB227">
        <f t="shared" si="201"/>
        <v>-0.79718699312810171</v>
      </c>
      <c r="BC227">
        <f t="shared" si="202"/>
        <v>0.80944084557873586</v>
      </c>
      <c r="BD227">
        <f t="shared" si="185"/>
        <v>-133.62245572984378</v>
      </c>
      <c r="BF227">
        <f t="shared" si="186"/>
        <v>-13.596103928320048</v>
      </c>
      <c r="BG227">
        <f t="shared" si="187"/>
        <v>-126.01664109467688</v>
      </c>
      <c r="BH227">
        <f t="shared" si="203"/>
        <v>53.983358905323115</v>
      </c>
      <c r="BI227">
        <f t="shared" si="204"/>
        <v>53.983358905323115</v>
      </c>
      <c r="BJ227">
        <f t="shared" si="188"/>
        <v>0</v>
      </c>
      <c r="BK227">
        <f t="shared" si="205"/>
        <v>0</v>
      </c>
      <c r="BM227">
        <f t="shared" si="206"/>
        <v>-12.798916935191947</v>
      </c>
      <c r="BN227">
        <f t="shared" si="189"/>
        <v>-172.39418536483313</v>
      </c>
      <c r="BQ227" s="56">
        <f t="shared" si="207"/>
        <v>16.104773807157034</v>
      </c>
      <c r="BR227" s="59"/>
      <c r="BS227" s="59"/>
      <c r="BT227" s="59">
        <v>14791.084000000001</v>
      </c>
      <c r="BU227" s="59">
        <v>-3.9583900000000001</v>
      </c>
      <c r="BV227" s="59">
        <v>-191.02600000000001</v>
      </c>
      <c r="BW227" s="61"/>
      <c r="BY227" s="59"/>
      <c r="BZ227" s="59"/>
      <c r="CA227" s="59"/>
      <c r="CC227" s="59"/>
    </row>
    <row r="228" spans="1:81" x14ac:dyDescent="0.2">
      <c r="A228">
        <f t="shared" si="190"/>
        <v>97000</v>
      </c>
      <c r="B228">
        <f t="shared" si="191"/>
        <v>97</v>
      </c>
      <c r="C228">
        <f t="shared" si="159"/>
        <v>1.0018555406364258</v>
      </c>
      <c r="D228">
        <f t="shared" si="160"/>
        <v>6.0871602239780942E-2</v>
      </c>
      <c r="F228">
        <f t="shared" si="161"/>
        <v>1.5087579174947742E-2</v>
      </c>
      <c r="G228">
        <f t="shared" si="162"/>
        <v>7.1805613865181903E-2</v>
      </c>
      <c r="H228">
        <f t="shared" si="163"/>
        <v>-3.0697870361348185</v>
      </c>
      <c r="J228">
        <f t="shared" si="164"/>
        <v>15</v>
      </c>
      <c r="M228">
        <f t="shared" si="165"/>
        <v>8.2244241156373601E-3</v>
      </c>
      <c r="N228">
        <f t="shared" si="166"/>
        <v>-1.5707963250000001</v>
      </c>
      <c r="O228">
        <f t="shared" si="167"/>
        <v>11.015924266557214</v>
      </c>
      <c r="P228">
        <f t="shared" si="168"/>
        <v>1.4798935096546515</v>
      </c>
      <c r="Q228">
        <f t="shared" si="169"/>
        <v>11.586333538727382</v>
      </c>
      <c r="R228">
        <f t="shared" si="170"/>
        <v>1.4843802310152441</v>
      </c>
      <c r="S228">
        <f t="shared" si="171"/>
        <v>0.99970887875511227</v>
      </c>
      <c r="T228">
        <f t="shared" si="172"/>
        <v>-2.4130286829944683E-2</v>
      </c>
      <c r="U228">
        <f t="shared" si="173"/>
        <v>0.8660098822138419</v>
      </c>
      <c r="V228">
        <f t="shared" si="174"/>
        <v>-0.52362981790497365</v>
      </c>
      <c r="X228">
        <f t="shared" si="192"/>
        <v>-13.720304229561828</v>
      </c>
      <c r="Y228">
        <f t="shared" si="175"/>
        <v>-123.9421228378577</v>
      </c>
      <c r="Z228">
        <f t="shared" si="193"/>
        <v>56.057877162142304</v>
      </c>
      <c r="AC228">
        <v>1</v>
      </c>
      <c r="AD228">
        <f t="shared" si="176"/>
        <v>10.970441533800001</v>
      </c>
      <c r="AE228">
        <f t="shared" si="177"/>
        <v>-6.6861437470291177E-3</v>
      </c>
      <c r="AF228">
        <f t="shared" si="178"/>
        <v>1.15799105079E-2</v>
      </c>
      <c r="AG228">
        <f t="shared" si="194"/>
        <v>673.10606541223956</v>
      </c>
      <c r="AH228">
        <f t="shared" si="195"/>
        <v>-475.00228145898882</v>
      </c>
      <c r="AJ228">
        <f t="shared" si="179"/>
        <v>10500</v>
      </c>
      <c r="AK228">
        <f t="shared" si="180"/>
        <v>253.41719943078002</v>
      </c>
      <c r="AL228">
        <v>1</v>
      </c>
      <c r="AM228">
        <f t="shared" si="181"/>
        <v>11.543098581864362</v>
      </c>
      <c r="AN228">
        <f t="shared" si="196"/>
        <v>100.00675809883333</v>
      </c>
      <c r="AO228">
        <f t="shared" si="197"/>
        <v>-900.97066815671519</v>
      </c>
      <c r="AQ228">
        <f t="shared" si="182"/>
        <v>0.26569599064750116</v>
      </c>
      <c r="AR228">
        <f t="shared" si="183"/>
        <v>-51.545022185615217</v>
      </c>
      <c r="AT228">
        <f t="shared" si="209"/>
        <v>-24305.161553160877</v>
      </c>
      <c r="AU228">
        <f t="shared" si="210"/>
        <v>-34821.473276678124</v>
      </c>
      <c r="AV228">
        <f t="shared" si="198"/>
        <v>-2.1801743683175752</v>
      </c>
      <c r="AW228">
        <f t="shared" si="199"/>
        <v>-45821.192844272628</v>
      </c>
      <c r="AX228">
        <f t="shared" si="200"/>
        <v>-7097.1839386282954</v>
      </c>
      <c r="AY228">
        <f t="shared" si="208"/>
        <v>-2.9879250665059143</v>
      </c>
      <c r="BA228">
        <f t="shared" si="184"/>
        <v>0.91583393510199362</v>
      </c>
      <c r="BB228">
        <f t="shared" si="201"/>
        <v>-0.76366536522759476</v>
      </c>
      <c r="BC228">
        <f t="shared" si="202"/>
        <v>0.80775069818833911</v>
      </c>
      <c r="BD228">
        <f t="shared" si="185"/>
        <v>-133.7192940421792</v>
      </c>
      <c r="BF228">
        <f t="shared" si="186"/>
        <v>-13.653346854260169</v>
      </c>
      <c r="BG228">
        <f t="shared" si="187"/>
        <v>-126.11744951313331</v>
      </c>
      <c r="BH228">
        <f t="shared" si="203"/>
        <v>53.882550486866691</v>
      </c>
      <c r="BI228">
        <f t="shared" si="204"/>
        <v>53.882550486866691</v>
      </c>
      <c r="BJ228">
        <f t="shared" si="188"/>
        <v>0</v>
      </c>
      <c r="BK228">
        <f t="shared" si="205"/>
        <v>0</v>
      </c>
      <c r="BM228">
        <f t="shared" si="206"/>
        <v>-12.889681489032574</v>
      </c>
      <c r="BN228">
        <f t="shared" si="189"/>
        <v>-172.39815547095412</v>
      </c>
      <c r="BQ228" s="56">
        <f t="shared" si="207"/>
        <v>16.138295435057543</v>
      </c>
      <c r="BR228" s="59"/>
      <c r="BS228" s="59"/>
      <c r="BT228" s="59">
        <v>15135.611999999999</v>
      </c>
      <c r="BU228" s="59">
        <v>-3.8792200000000001</v>
      </c>
      <c r="BV228" s="59">
        <v>-189.453</v>
      </c>
      <c r="BW228" s="61"/>
      <c r="BY228" s="59"/>
      <c r="BZ228" s="59"/>
      <c r="CA228" s="59"/>
      <c r="CC228" s="59"/>
    </row>
    <row r="229" spans="1:81" x14ac:dyDescent="0.2">
      <c r="A229">
        <f t="shared" si="190"/>
        <v>97500</v>
      </c>
      <c r="B229">
        <f t="shared" si="191"/>
        <v>97.5</v>
      </c>
      <c r="C229">
        <f t="shared" si="159"/>
        <v>1.0018747012800242</v>
      </c>
      <c r="D229">
        <f t="shared" si="160"/>
        <v>6.1184592890301849E-2</v>
      </c>
      <c r="F229">
        <f t="shared" si="161"/>
        <v>1.4931279966355741E-2</v>
      </c>
      <c r="G229">
        <f t="shared" si="162"/>
        <v>7.1427398844235865E-2</v>
      </c>
      <c r="H229">
        <f t="shared" si="163"/>
        <v>-3.0701652511557644</v>
      </c>
      <c r="J229">
        <f t="shared" si="164"/>
        <v>15</v>
      </c>
      <c r="M229">
        <f t="shared" si="165"/>
        <v>8.1822475817110163E-3</v>
      </c>
      <c r="N229">
        <f t="shared" si="166"/>
        <v>-1.5707963250000001</v>
      </c>
      <c r="O229">
        <f t="shared" si="167"/>
        <v>11.072240645143916</v>
      </c>
      <c r="P229">
        <f t="shared" si="168"/>
        <v>1.4803571336818968</v>
      </c>
      <c r="Q229">
        <f t="shared" si="169"/>
        <v>11.645613150182067</v>
      </c>
      <c r="R229">
        <f t="shared" si="170"/>
        <v>1.4848212043236688</v>
      </c>
      <c r="S229">
        <f t="shared" si="171"/>
        <v>0.99970587109739939</v>
      </c>
      <c r="T229">
        <f t="shared" si="172"/>
        <v>-2.4254621100602211E-2</v>
      </c>
      <c r="U229">
        <f t="shared" si="173"/>
        <v>0.86489305765252844</v>
      </c>
      <c r="V229">
        <f t="shared" si="174"/>
        <v>-0.52585904542093587</v>
      </c>
      <c r="X229">
        <f t="shared" si="192"/>
        <v>-13.777862924739811</v>
      </c>
      <c r="Y229">
        <f t="shared" si="175"/>
        <v>-124.02887946680747</v>
      </c>
      <c r="Z229">
        <f t="shared" si="193"/>
        <v>55.971120533192533</v>
      </c>
      <c r="AC229">
        <v>1</v>
      </c>
      <c r="AD229">
        <f t="shared" si="176"/>
        <v>11.026990201500002</v>
      </c>
      <c r="AE229">
        <f t="shared" si="177"/>
        <v>-6.7552507168876126E-3</v>
      </c>
      <c r="AF229">
        <f t="shared" si="178"/>
        <v>1.163960076825E-2</v>
      </c>
      <c r="AG229">
        <f t="shared" si="194"/>
        <v>671.3710813874651</v>
      </c>
      <c r="AH229">
        <f t="shared" si="195"/>
        <v>-475.55582782007298</v>
      </c>
      <c r="AJ229">
        <f t="shared" si="179"/>
        <v>10500</v>
      </c>
      <c r="AK229">
        <f t="shared" si="180"/>
        <v>254.72347365465004</v>
      </c>
      <c r="AL229">
        <v>1</v>
      </c>
      <c r="AM229">
        <f t="shared" si="181"/>
        <v>11.6025990900183</v>
      </c>
      <c r="AN229">
        <f t="shared" si="196"/>
        <v>99.214157347369465</v>
      </c>
      <c r="AO229">
        <f t="shared" si="197"/>
        <v>-896.41861810087119</v>
      </c>
      <c r="AQ229">
        <f t="shared" si="182"/>
        <v>0.26297796244674698</v>
      </c>
      <c r="AR229">
        <f t="shared" si="183"/>
        <v>-51.280702677115656</v>
      </c>
      <c r="AT229">
        <f t="shared" si="209"/>
        <v>-24210.281213781822</v>
      </c>
      <c r="AU229">
        <f t="shared" si="210"/>
        <v>-34553.441513274018</v>
      </c>
      <c r="AV229">
        <f t="shared" si="198"/>
        <v>-2.1819664051545979</v>
      </c>
      <c r="AW229">
        <f t="shared" si="199"/>
        <v>-45352.144044330264</v>
      </c>
      <c r="AX229">
        <f t="shared" si="200"/>
        <v>-7019.9901957689826</v>
      </c>
      <c r="AY229">
        <f t="shared" si="208"/>
        <v>-2.9880229012926982</v>
      </c>
      <c r="BA229">
        <f t="shared" si="184"/>
        <v>0.91934879724513263</v>
      </c>
      <c r="BB229">
        <f t="shared" si="201"/>
        <v>-0.73039375531061645</v>
      </c>
      <c r="BC229">
        <f t="shared" si="202"/>
        <v>0.80605649613810026</v>
      </c>
      <c r="BD229">
        <f t="shared" si="185"/>
        <v>-133.8163646694112</v>
      </c>
      <c r="BF229">
        <f t="shared" si="186"/>
        <v>-13.710359595969475</v>
      </c>
      <c r="BG229">
        <f t="shared" si="187"/>
        <v>-126.21825722151635</v>
      </c>
      <c r="BH229">
        <f t="shared" si="203"/>
        <v>53.781742778483647</v>
      </c>
      <c r="BI229">
        <f t="shared" si="204"/>
        <v>53.781742778483647</v>
      </c>
      <c r="BJ229">
        <f t="shared" si="188"/>
        <v>0</v>
      </c>
      <c r="BK229">
        <f t="shared" si="205"/>
        <v>0</v>
      </c>
      <c r="BM229">
        <f t="shared" si="206"/>
        <v>-12.979965840658858</v>
      </c>
      <c r="BN229">
        <f t="shared" si="189"/>
        <v>-172.40189255210515</v>
      </c>
      <c r="BQ229" s="56">
        <f t="shared" si="207"/>
        <v>16.17156704497452</v>
      </c>
      <c r="BR229" s="59"/>
      <c r="BS229" s="59"/>
      <c r="BT229" s="59">
        <v>15488.165999999999</v>
      </c>
      <c r="BU229" s="59">
        <v>-3.9822899999999999</v>
      </c>
      <c r="BV229" s="59">
        <v>-188.48099999999999</v>
      </c>
      <c r="BW229" s="61"/>
      <c r="BY229" s="59"/>
      <c r="BZ229" s="59"/>
      <c r="CA229" s="59"/>
      <c r="CC229" s="59"/>
    </row>
    <row r="230" spans="1:81" x14ac:dyDescent="0.2">
      <c r="A230">
        <f t="shared" si="190"/>
        <v>98000</v>
      </c>
      <c r="B230">
        <f t="shared" si="191"/>
        <v>98</v>
      </c>
      <c r="C230">
        <f t="shared" si="159"/>
        <v>1.0018939600666619</v>
      </c>
      <c r="D230">
        <f t="shared" si="160"/>
        <v>6.1497571538631585E-2</v>
      </c>
      <c r="F230">
        <f t="shared" si="161"/>
        <v>1.4777406790092665E-2</v>
      </c>
      <c r="G230">
        <f t="shared" si="162"/>
        <v>7.1053197121664649E-2</v>
      </c>
      <c r="H230">
        <f t="shared" si="163"/>
        <v>-3.0705394528783354</v>
      </c>
      <c r="J230">
        <f t="shared" si="164"/>
        <v>15</v>
      </c>
      <c r="M230">
        <f t="shared" si="165"/>
        <v>8.140501420579838E-3</v>
      </c>
      <c r="N230">
        <f t="shared" si="166"/>
        <v>-1.5707963250000001</v>
      </c>
      <c r="O230">
        <f t="shared" si="167"/>
        <v>11.128559379590298</v>
      </c>
      <c r="P230">
        <f t="shared" si="168"/>
        <v>1.4808160652465674</v>
      </c>
      <c r="Q230">
        <f t="shared" si="169"/>
        <v>11.704895003274874</v>
      </c>
      <c r="R230">
        <f t="shared" si="170"/>
        <v>1.4852577109158525</v>
      </c>
      <c r="S230">
        <f t="shared" si="171"/>
        <v>0.99970284800350617</v>
      </c>
      <c r="T230">
        <f t="shared" si="172"/>
        <v>-2.4378954621212274E-2</v>
      </c>
      <c r="U230">
        <f t="shared" si="173"/>
        <v>0.86377483403540178</v>
      </c>
      <c r="V230">
        <f t="shared" si="174"/>
        <v>-0.52808251960864772</v>
      </c>
      <c r="X230">
        <f t="shared" si="192"/>
        <v>-13.835193030362927</v>
      </c>
      <c r="Y230">
        <f t="shared" si="175"/>
        <v>-124.11560193626184</v>
      </c>
      <c r="Z230">
        <f t="shared" si="193"/>
        <v>55.884398063738161</v>
      </c>
      <c r="AC230">
        <v>1</v>
      </c>
      <c r="AD230">
        <f t="shared" si="176"/>
        <v>11.083538869200002</v>
      </c>
      <c r="AE230">
        <f t="shared" si="177"/>
        <v>-6.8247129925037347E-3</v>
      </c>
      <c r="AF230">
        <f t="shared" si="178"/>
        <v>1.16992910286E-2</v>
      </c>
      <c r="AG230">
        <f t="shared" si="194"/>
        <v>669.63616705754862</v>
      </c>
      <c r="AH230">
        <f t="shared" si="195"/>
        <v>-476.10360627421704</v>
      </c>
      <c r="AJ230">
        <f t="shared" si="179"/>
        <v>10500</v>
      </c>
      <c r="AK230">
        <f t="shared" si="180"/>
        <v>256.02974787852003</v>
      </c>
      <c r="AL230">
        <v>1</v>
      </c>
      <c r="AM230">
        <f t="shared" si="181"/>
        <v>11.66209959817224</v>
      </c>
      <c r="AN230">
        <f t="shared" si="196"/>
        <v>98.433539198327267</v>
      </c>
      <c r="AO230">
        <f t="shared" si="197"/>
        <v>-891.9119900529638</v>
      </c>
      <c r="AQ230">
        <f t="shared" si="182"/>
        <v>0.26030142905484549</v>
      </c>
      <c r="AR230">
        <f t="shared" si="183"/>
        <v>-51.019080094749718</v>
      </c>
      <c r="AT230">
        <f t="shared" si="209"/>
        <v>-24116.060770671575</v>
      </c>
      <c r="AU230">
        <f t="shared" si="210"/>
        <v>-34288.151690541621</v>
      </c>
      <c r="AV230">
        <f t="shared" si="198"/>
        <v>-2.1837571114049585</v>
      </c>
      <c r="AW230">
        <f t="shared" si="199"/>
        <v>-44890.201089326023</v>
      </c>
      <c r="AX230">
        <f t="shared" si="200"/>
        <v>-6944.230726979461</v>
      </c>
      <c r="AY230">
        <f t="shared" si="208"/>
        <v>-2.9881154935929657</v>
      </c>
      <c r="BA230">
        <f t="shared" si="184"/>
        <v>0.92285084085957847</v>
      </c>
      <c r="BB230">
        <f t="shared" si="201"/>
        <v>-0.69736975470167506</v>
      </c>
      <c r="BC230">
        <f t="shared" si="202"/>
        <v>0.80435838218800715</v>
      </c>
      <c r="BD230">
        <f t="shared" si="185"/>
        <v>-133.91365943199503</v>
      </c>
      <c r="BF230">
        <f t="shared" si="186"/>
        <v>-13.767144830827762</v>
      </c>
      <c r="BG230">
        <f t="shared" si="187"/>
        <v>-126.31905980786699</v>
      </c>
      <c r="BH230">
        <f t="shared" si="203"/>
        <v>53.680940192133008</v>
      </c>
      <c r="BI230">
        <f t="shared" si="204"/>
        <v>53.680940192133008</v>
      </c>
      <c r="BJ230">
        <f t="shared" si="188"/>
        <v>0</v>
      </c>
      <c r="BK230">
        <f t="shared" si="205"/>
        <v>0</v>
      </c>
      <c r="BM230">
        <f t="shared" si="206"/>
        <v>-13.069775076126088</v>
      </c>
      <c r="BN230">
        <f t="shared" si="189"/>
        <v>-172.40540037587198</v>
      </c>
      <c r="BQ230" s="56">
        <f t="shared" si="207"/>
        <v>16.204591045583459</v>
      </c>
      <c r="BR230" s="59"/>
      <c r="BS230" s="59"/>
      <c r="BT230" s="59">
        <v>15848.932000000001</v>
      </c>
      <c r="BU230" s="59">
        <v>-3.9450400000000001</v>
      </c>
      <c r="BV230" s="59">
        <v>-186.14400000000001</v>
      </c>
      <c r="BW230" s="61"/>
      <c r="BY230" s="59"/>
      <c r="BZ230" s="59"/>
      <c r="CA230" s="59"/>
      <c r="CC230" s="59"/>
    </row>
    <row r="231" spans="1:81" x14ac:dyDescent="0.2">
      <c r="A231">
        <f t="shared" si="190"/>
        <v>98500</v>
      </c>
      <c r="B231">
        <f t="shared" si="191"/>
        <v>98.5</v>
      </c>
      <c r="C231">
        <f t="shared" si="159"/>
        <v>1.0019133169906793</v>
      </c>
      <c r="D231">
        <f t="shared" si="160"/>
        <v>6.1810538124147982E-2</v>
      </c>
      <c r="F231">
        <f t="shared" si="161"/>
        <v>1.4625909500289899E-2</v>
      </c>
      <c r="G231">
        <f t="shared" si="162"/>
        <v>7.0682944419322644E-2</v>
      </c>
      <c r="H231">
        <f t="shared" si="163"/>
        <v>-3.0709097055806778</v>
      </c>
      <c r="J231">
        <f t="shared" si="164"/>
        <v>15</v>
      </c>
      <c r="M231">
        <f t="shared" si="165"/>
        <v>8.0991790783433906E-3</v>
      </c>
      <c r="N231">
        <f t="shared" si="166"/>
        <v>-1.5707963250000001</v>
      </c>
      <c r="O231">
        <f t="shared" si="167"/>
        <v>11.184880434309287</v>
      </c>
      <c r="P231">
        <f t="shared" si="168"/>
        <v>1.4812703750400387</v>
      </c>
      <c r="Q231">
        <f t="shared" si="169"/>
        <v>11.76417906411773</v>
      </c>
      <c r="R231">
        <f t="shared" si="170"/>
        <v>1.4856898181525013</v>
      </c>
      <c r="S231">
        <f t="shared" si="171"/>
        <v>0.99969980947385306</v>
      </c>
      <c r="T231">
        <f t="shared" si="172"/>
        <v>-2.4503287387937601E-2</v>
      </c>
      <c r="U231">
        <f t="shared" si="173"/>
        <v>0.86265524988735631</v>
      </c>
      <c r="V231">
        <f t="shared" si="174"/>
        <v>-0.53030024081230354</v>
      </c>
      <c r="X231">
        <f t="shared" si="192"/>
        <v>-13.892297143481802</v>
      </c>
      <c r="Y231">
        <f t="shared" si="175"/>
        <v>-124.20228604226001</v>
      </c>
      <c r="Z231">
        <f t="shared" si="193"/>
        <v>55.797713957739987</v>
      </c>
      <c r="AC231">
        <v>1</v>
      </c>
      <c r="AD231">
        <f t="shared" si="176"/>
        <v>11.140087536900001</v>
      </c>
      <c r="AE231">
        <f t="shared" si="177"/>
        <v>-6.8945305738774857E-3</v>
      </c>
      <c r="AF231">
        <f t="shared" si="178"/>
        <v>1.1758981288949999E-2</v>
      </c>
      <c r="AG231">
        <f t="shared" si="194"/>
        <v>667.90139050211178</v>
      </c>
      <c r="AH231">
        <f t="shared" si="195"/>
        <v>-476.64558854422438</v>
      </c>
      <c r="AJ231">
        <f t="shared" si="179"/>
        <v>10500</v>
      </c>
      <c r="AK231">
        <f t="shared" si="180"/>
        <v>257.33602210239002</v>
      </c>
      <c r="AL231">
        <v>1</v>
      </c>
      <c r="AM231">
        <f t="shared" si="181"/>
        <v>11.721600106326182</v>
      </c>
      <c r="AN231">
        <f t="shared" si="196"/>
        <v>97.664663909228949</v>
      </c>
      <c r="AO231">
        <f t="shared" si="197"/>
        <v>-887.45011276033904</v>
      </c>
      <c r="AQ231">
        <f t="shared" si="182"/>
        <v>0.25766555011594949</v>
      </c>
      <c r="AR231">
        <f t="shared" si="183"/>
        <v>-50.760113372842049</v>
      </c>
      <c r="AT231">
        <f t="shared" si="209"/>
        <v>-24022.488933962919</v>
      </c>
      <c r="AU231">
        <f t="shared" si="210"/>
        <v>-34025.565451548631</v>
      </c>
      <c r="AV231">
        <f t="shared" si="198"/>
        <v>-2.1855464208287598</v>
      </c>
      <c r="AW231">
        <f t="shared" si="199"/>
        <v>-44435.221870928064</v>
      </c>
      <c r="AX231">
        <f t="shared" si="200"/>
        <v>-6869.8707331238311</v>
      </c>
      <c r="AY231">
        <f t="shared" si="208"/>
        <v>-2.9882029168979019</v>
      </c>
      <c r="BA231">
        <f t="shared" si="184"/>
        <v>0.92634007060438683</v>
      </c>
      <c r="BB231">
        <f t="shared" si="201"/>
        <v>-0.66459098614337087</v>
      </c>
      <c r="BC231">
        <f t="shared" si="202"/>
        <v>0.80265649606914202</v>
      </c>
      <c r="BD231">
        <f t="shared" si="185"/>
        <v>-134.01117032392932</v>
      </c>
      <c r="BF231">
        <f t="shared" si="186"/>
        <v>-13.823705186266311</v>
      </c>
      <c r="BG231">
        <f t="shared" si="187"/>
        <v>-126.41985295252387</v>
      </c>
      <c r="BH231">
        <f t="shared" si="203"/>
        <v>53.580147047476132</v>
      </c>
      <c r="BI231">
        <f t="shared" si="204"/>
        <v>53.580147047476132</v>
      </c>
      <c r="BJ231">
        <f t="shared" si="188"/>
        <v>0</v>
      </c>
      <c r="BK231">
        <f t="shared" si="205"/>
        <v>0</v>
      </c>
      <c r="BM231">
        <f t="shared" si="206"/>
        <v>-13.159114200122941</v>
      </c>
      <c r="BN231">
        <f t="shared" si="189"/>
        <v>-172.40868262859456</v>
      </c>
      <c r="BQ231" s="56">
        <f t="shared" si="207"/>
        <v>16.237369814141765</v>
      </c>
      <c r="BR231" s="59"/>
      <c r="BS231" s="59"/>
      <c r="BT231" s="59">
        <v>16218.101000000001</v>
      </c>
      <c r="BU231" s="59">
        <v>-3.9639700000000002</v>
      </c>
      <c r="BV231" s="59">
        <v>-185.626</v>
      </c>
      <c r="BW231" s="61"/>
      <c r="BY231" s="59"/>
      <c r="BZ231" s="59"/>
      <c r="CA231" s="59"/>
      <c r="CC231" s="59"/>
    </row>
    <row r="232" spans="1:81" x14ac:dyDescent="0.2">
      <c r="A232">
        <f t="shared" si="190"/>
        <v>99000</v>
      </c>
      <c r="B232">
        <f t="shared" si="191"/>
        <v>99</v>
      </c>
      <c r="C232">
        <f t="shared" si="159"/>
        <v>1.0019327720463886</v>
      </c>
      <c r="D232">
        <f t="shared" si="160"/>
        <v>6.2123492586243008E-2</v>
      </c>
      <c r="F232">
        <f t="shared" si="161"/>
        <v>1.4476739244929069E-2</v>
      </c>
      <c r="G232">
        <f t="shared" si="162"/>
        <v>7.0316577838656399E-2</v>
      </c>
      <c r="H232">
        <f t="shared" si="163"/>
        <v>-3.0712760721613437</v>
      </c>
      <c r="J232">
        <f t="shared" si="164"/>
        <v>15</v>
      </c>
      <c r="M232">
        <f t="shared" si="165"/>
        <v>8.0582741335032734E-3</v>
      </c>
      <c r="N232">
        <f t="shared" si="166"/>
        <v>-1.5707963250000001</v>
      </c>
      <c r="O232">
        <f t="shared" si="167"/>
        <v>11.241203774425561</v>
      </c>
      <c r="P232">
        <f t="shared" si="168"/>
        <v>1.4817201323446263</v>
      </c>
      <c r="Q232">
        <f t="shared" si="169"/>
        <v>11.823465299500983</v>
      </c>
      <c r="R232">
        <f t="shared" si="170"/>
        <v>1.4861175920499055</v>
      </c>
      <c r="S232">
        <f t="shared" si="171"/>
        <v>0.99969675550886283</v>
      </c>
      <c r="T232">
        <f t="shared" si="172"/>
        <v>-2.4627619396941049E-2</v>
      </c>
      <c r="U232">
        <f t="shared" si="173"/>
        <v>0.8615343434661008</v>
      </c>
      <c r="V232">
        <f t="shared" si="174"/>
        <v>-0.53251220960067636</v>
      </c>
      <c r="X232">
        <f t="shared" si="192"/>
        <v>-13.949177812686784</v>
      </c>
      <c r="Y232">
        <f t="shared" si="175"/>
        <v>-124.2889276724255</v>
      </c>
      <c r="Z232">
        <f t="shared" si="193"/>
        <v>55.711072327574499</v>
      </c>
      <c r="AC232">
        <v>1</v>
      </c>
      <c r="AD232">
        <f t="shared" si="176"/>
        <v>11.196636204600001</v>
      </c>
      <c r="AE232">
        <f t="shared" si="177"/>
        <v>-6.9647034610088622E-3</v>
      </c>
      <c r="AF232">
        <f t="shared" si="178"/>
        <v>1.1818671549300001E-2</v>
      </c>
      <c r="AG232">
        <f t="shared" si="194"/>
        <v>666.16681908805288</v>
      </c>
      <c r="AH232">
        <f t="shared" si="195"/>
        <v>-477.18174813360076</v>
      </c>
      <c r="AJ232">
        <f t="shared" si="179"/>
        <v>10500</v>
      </c>
      <c r="AK232">
        <f t="shared" si="180"/>
        <v>258.64229632626001</v>
      </c>
      <c r="AL232">
        <v>1</v>
      </c>
      <c r="AM232">
        <f t="shared" si="181"/>
        <v>11.781100614480122</v>
      </c>
      <c r="AN232">
        <f t="shared" si="196"/>
        <v>96.907297689051475</v>
      </c>
      <c r="AO232">
        <f t="shared" si="197"/>
        <v>-883.03232802583261</v>
      </c>
      <c r="AQ232">
        <f t="shared" si="182"/>
        <v>0.25506950644050502</v>
      </c>
      <c r="AR232">
        <f t="shared" si="183"/>
        <v>-50.503762275219998</v>
      </c>
      <c r="AT232">
        <f t="shared" si="209"/>
        <v>-23929.554728061445</v>
      </c>
      <c r="AU232">
        <f t="shared" si="210"/>
        <v>-33765.645179841362</v>
      </c>
      <c r="AV232">
        <f t="shared" si="198"/>
        <v>-2.1873342687367705</v>
      </c>
      <c r="AW232">
        <f t="shared" si="199"/>
        <v>-43987.06780443056</v>
      </c>
      <c r="AX232">
        <f t="shared" si="200"/>
        <v>-6796.87643687735</v>
      </c>
      <c r="AY232">
        <f t="shared" si="208"/>
        <v>-2.9882852432925122</v>
      </c>
      <c r="BA232">
        <f t="shared" si="184"/>
        <v>0.92981649181532167</v>
      </c>
      <c r="BB232">
        <f t="shared" si="201"/>
        <v>-0.63205510324205449</v>
      </c>
      <c r="BC232">
        <f t="shared" si="202"/>
        <v>0.80095097455574171</v>
      </c>
      <c r="BD232">
        <f t="shared" si="185"/>
        <v>-134.10888950862758</v>
      </c>
      <c r="BF232">
        <f t="shared" si="186"/>
        <v>-13.880043240956097</v>
      </c>
      <c r="BG232">
        <f t="shared" si="187"/>
        <v>-126.52063242619458</v>
      </c>
      <c r="BH232">
        <f t="shared" si="203"/>
        <v>53.479367573805419</v>
      </c>
      <c r="BI232">
        <f t="shared" si="204"/>
        <v>53.479367573805419</v>
      </c>
      <c r="BJ232">
        <f t="shared" si="188"/>
        <v>0</v>
      </c>
      <c r="BK232">
        <f t="shared" si="205"/>
        <v>0</v>
      </c>
      <c r="BM232">
        <f t="shared" si="206"/>
        <v>-13.247988137714042</v>
      </c>
      <c r="BN232">
        <f t="shared" si="189"/>
        <v>-172.41174291756701</v>
      </c>
      <c r="BQ232" s="56">
        <f t="shared" si="207"/>
        <v>16.269905697043082</v>
      </c>
      <c r="BR232" s="59"/>
      <c r="BS232" s="59"/>
      <c r="BT232" s="59">
        <v>16595.868999999999</v>
      </c>
      <c r="BU232" s="59">
        <v>-3.91065</v>
      </c>
      <c r="BV232" s="59">
        <v>-184.43100000000001</v>
      </c>
      <c r="BW232" s="61"/>
      <c r="BY232" s="59"/>
      <c r="BZ232" s="59"/>
      <c r="CA232" s="59"/>
      <c r="CC232" s="59"/>
    </row>
    <row r="233" spans="1:81" x14ac:dyDescent="0.2">
      <c r="A233">
        <f t="shared" si="190"/>
        <v>99500</v>
      </c>
      <c r="B233">
        <f t="shared" si="191"/>
        <v>99.5</v>
      </c>
      <c r="C233">
        <f t="shared" si="159"/>
        <v>1.0019523252280735</v>
      </c>
      <c r="D233">
        <f t="shared" si="160"/>
        <v>6.2436434864322855E-2</v>
      </c>
      <c r="F233">
        <f t="shared" si="161"/>
        <v>1.4329848425843171E-2</v>
      </c>
      <c r="G233">
        <f t="shared" si="162"/>
        <v>6.9954035823553057E-2</v>
      </c>
      <c r="H233">
        <f t="shared" si="163"/>
        <v>-3.0716386141764471</v>
      </c>
      <c r="J233">
        <f t="shared" si="164"/>
        <v>15</v>
      </c>
      <c r="M233">
        <f t="shared" si="165"/>
        <v>8.0177802936364229E-3</v>
      </c>
      <c r="N233">
        <f t="shared" si="166"/>
        <v>-1.5707963250000001</v>
      </c>
      <c r="O233">
        <f t="shared" si="167"/>
        <v>11.297529365757875</v>
      </c>
      <c r="P233">
        <f t="shared" si="168"/>
        <v>1.4821654050684265</v>
      </c>
      <c r="Q233">
        <f t="shared" si="169"/>
        <v>11.882753676876542</v>
      </c>
      <c r="R233">
        <f t="shared" si="170"/>
        <v>1.4865410973132318</v>
      </c>
      <c r="S233">
        <f t="shared" si="171"/>
        <v>0.99969368610895981</v>
      </c>
      <c r="T233">
        <f t="shared" si="172"/>
        <v>-2.4751950644385626E-2</v>
      </c>
      <c r="U233">
        <f t="shared" si="173"/>
        <v>0.86041215276124339</v>
      </c>
      <c r="V233">
        <f t="shared" si="174"/>
        <v>-0.53471842676475478</v>
      </c>
      <c r="X233">
        <f t="shared" si="192"/>
        <v>-14.005837539261989</v>
      </c>
      <c r="Y233">
        <f t="shared" si="175"/>
        <v>-124.37552280405579</v>
      </c>
      <c r="Z233">
        <f t="shared" si="193"/>
        <v>55.624477195944209</v>
      </c>
      <c r="AC233">
        <v>1</v>
      </c>
      <c r="AD233">
        <f t="shared" si="176"/>
        <v>11.253184872300002</v>
      </c>
      <c r="AE233">
        <f t="shared" si="177"/>
        <v>-7.0352316538978667E-3</v>
      </c>
      <c r="AF233">
        <f t="shared" si="178"/>
        <v>1.187836180965E-2</v>
      </c>
      <c r="AG233">
        <f t="shared" si="194"/>
        <v>664.4325194698971</v>
      </c>
      <c r="AH233">
        <f t="shared" si="195"/>
        <v>-477.71206028122577</v>
      </c>
      <c r="AJ233">
        <f t="shared" si="179"/>
        <v>10500</v>
      </c>
      <c r="AK233">
        <f t="shared" si="180"/>
        <v>259.94857055013006</v>
      </c>
      <c r="AL233">
        <v>1</v>
      </c>
      <c r="AM233">
        <f t="shared" si="181"/>
        <v>11.840601122634062</v>
      </c>
      <c r="AN233">
        <f t="shared" si="196"/>
        <v>96.161212522244071</v>
      </c>
      <c r="AO233">
        <f t="shared" si="197"/>
        <v>-878.65799039460569</v>
      </c>
      <c r="AQ233">
        <f t="shared" si="182"/>
        <v>0.25251249936871878</v>
      </c>
      <c r="AR233">
        <f t="shared" si="183"/>
        <v>-50.249987374375031</v>
      </c>
      <c r="AT233">
        <f t="shared" si="209"/>
        <v>-23837.247481565082</v>
      </c>
      <c r="AU233">
        <f t="shared" si="210"/>
        <v>-33508.353980806714</v>
      </c>
      <c r="AV233">
        <f t="shared" si="198"/>
        <v>-2.1891205919553092</v>
      </c>
      <c r="AW233">
        <f t="shared" si="199"/>
        <v>-43545.60372469548</v>
      </c>
      <c r="AX233">
        <f t="shared" si="200"/>
        <v>-6725.2150476997213</v>
      </c>
      <c r="AY233">
        <f t="shared" si="208"/>
        <v>-2.9883625434904895</v>
      </c>
      <c r="BA233">
        <f t="shared" si="184"/>
        <v>0.93328011049455428</v>
      </c>
      <c r="BB233">
        <f t="shared" si="201"/>
        <v>-0.59975978992588164</v>
      </c>
      <c r="BC233">
        <f t="shared" si="202"/>
        <v>0.79924195153518029</v>
      </c>
      <c r="BD233">
        <f t="shared" si="185"/>
        <v>-134.20680931490833</v>
      </c>
      <c r="BF233">
        <f t="shared" si="186"/>
        <v>-13.936161525961673</v>
      </c>
      <c r="BG233">
        <f t="shared" si="187"/>
        <v>-126.62139408807501</v>
      </c>
      <c r="BH233">
        <f t="shared" si="203"/>
        <v>53.378605911924993</v>
      </c>
      <c r="BI233">
        <f t="shared" si="204"/>
        <v>53.378605911924993</v>
      </c>
      <c r="BJ233">
        <f t="shared" si="188"/>
        <v>0</v>
      </c>
      <c r="BK233">
        <f t="shared" si="205"/>
        <v>0</v>
      </c>
      <c r="BM233">
        <f t="shared" si="206"/>
        <v>-13.336401736035789</v>
      </c>
      <c r="BN233">
        <f t="shared" si="189"/>
        <v>-172.41458477316667</v>
      </c>
      <c r="BQ233" s="56">
        <f t="shared" si="207"/>
        <v>16.302201010359255</v>
      </c>
      <c r="BR233" s="59"/>
      <c r="BS233" s="59"/>
      <c r="BT233" s="59">
        <v>16982.437000000002</v>
      </c>
      <c r="BU233" s="59">
        <v>-3.9488799999999999</v>
      </c>
      <c r="BV233" s="59">
        <v>-182.72200000000001</v>
      </c>
      <c r="BW233" s="61"/>
      <c r="BY233" s="59"/>
      <c r="BZ233" s="59"/>
      <c r="CA233" s="59"/>
      <c r="CC233" s="59"/>
    </row>
    <row r="234" spans="1:81" x14ac:dyDescent="0.2">
      <c r="A234">
        <f t="shared" si="190"/>
        <v>100000</v>
      </c>
      <c r="B234">
        <f t="shared" si="191"/>
        <v>100</v>
      </c>
      <c r="C234">
        <f t="shared" si="159"/>
        <v>1.0019719765299895</v>
      </c>
      <c r="D234">
        <f t="shared" si="160"/>
        <v>6.2749364897807955E-2</v>
      </c>
      <c r="F234">
        <f t="shared" si="161"/>
        <v>1.4185190660157904E-2</v>
      </c>
      <c r="G234">
        <f t="shared" si="162"/>
        <v>6.9595258124392295E-2</v>
      </c>
      <c r="H234">
        <f t="shared" si="163"/>
        <v>-3.0719973918756081</v>
      </c>
      <c r="J234">
        <f t="shared" si="164"/>
        <v>15</v>
      </c>
      <c r="M234">
        <f t="shared" si="165"/>
        <v>7.9776913921682409E-3</v>
      </c>
      <c r="N234">
        <f t="shared" si="166"/>
        <v>-1.5707963250000001</v>
      </c>
      <c r="O234">
        <f t="shared" si="167"/>
        <v>11.353857174801915</v>
      </c>
      <c r="P234">
        <f t="shared" si="168"/>
        <v>1.4826062597791301</v>
      </c>
      <c r="Q234">
        <f t="shared" si="169"/>
        <v>11.942044164341516</v>
      </c>
      <c r="R234">
        <f t="shared" si="170"/>
        <v>1.4869603973688363</v>
      </c>
      <c r="S234">
        <f t="shared" si="171"/>
        <v>0.9996906012745711</v>
      </c>
      <c r="T234">
        <f t="shared" si="172"/>
        <v>-2.4876281126434467E-2</v>
      </c>
      <c r="U234">
        <f t="shared" si="173"/>
        <v>0.85928871549343211</v>
      </c>
      <c r="V234">
        <f t="shared" si="174"/>
        <v>-0.53691889331538201</v>
      </c>
      <c r="X234">
        <f t="shared" si="192"/>
        <v>-14.062278778306055</v>
      </c>
      <c r="Y234">
        <f t="shared" si="175"/>
        <v>-124.46206750225778</v>
      </c>
      <c r="Z234">
        <f t="shared" si="193"/>
        <v>55.537932497742219</v>
      </c>
      <c r="AC234">
        <v>1</v>
      </c>
      <c r="AD234">
        <f t="shared" si="176"/>
        <v>11.309733540000002</v>
      </c>
      <c r="AE234">
        <f t="shared" si="177"/>
        <v>-7.1061151525444984E-3</v>
      </c>
      <c r="AF234">
        <f t="shared" si="178"/>
        <v>1.193805207E-2</v>
      </c>
      <c r="AG234">
        <f t="shared" si="194"/>
        <v>662.69855759027757</v>
      </c>
      <c r="AH234">
        <f t="shared" si="195"/>
        <v>-478.23650191715524</v>
      </c>
      <c r="AJ234">
        <f t="shared" si="179"/>
        <v>10500</v>
      </c>
      <c r="AK234">
        <f t="shared" si="180"/>
        <v>261.25484477400005</v>
      </c>
      <c r="AL234">
        <v>1</v>
      </c>
      <c r="AM234">
        <f t="shared" si="181"/>
        <v>11.900101630788001</v>
      </c>
      <c r="AN234">
        <f t="shared" si="196"/>
        <v>95.426185998772212</v>
      </c>
      <c r="AO234">
        <f t="shared" si="197"/>
        <v>-874.32646684986821</v>
      </c>
      <c r="AQ234">
        <f t="shared" si="182"/>
        <v>0.24999375015624609</v>
      </c>
      <c r="AR234">
        <f t="shared" si="183"/>
        <v>-49.998750031249216</v>
      </c>
      <c r="AT234">
        <f t="shared" si="209"/>
        <v>-23745.556817539753</v>
      </c>
      <c r="AU234">
        <f t="shared" si="210"/>
        <v>-33253.655663601581</v>
      </c>
      <c r="AV234">
        <f t="shared" si="198"/>
        <v>-2.1909053287920868</v>
      </c>
      <c r="AW234">
        <f t="shared" si="199"/>
        <v>-43110.697785652941</v>
      </c>
      <c r="AX234">
        <f t="shared" si="200"/>
        <v>-6654.8547281776682</v>
      </c>
      <c r="AY234">
        <f t="shared" si="208"/>
        <v>-2.9884348868680428</v>
      </c>
      <c r="BA234">
        <f t="shared" si="184"/>
        <v>0.93673093330047053</v>
      </c>
      <c r="BB234">
        <f t="shared" si="201"/>
        <v>-0.56770275991502794</v>
      </c>
      <c r="BC234">
        <f t="shared" si="202"/>
        <v>0.79752955807595605</v>
      </c>
      <c r="BD234">
        <f t="shared" si="185"/>
        <v>-134.3049222330998</v>
      </c>
      <c r="BF234">
        <f t="shared" si="186"/>
        <v>-13.992062525861913</v>
      </c>
      <c r="BG234">
        <f t="shared" si="187"/>
        <v>-126.7221338840132</v>
      </c>
      <c r="BH234">
        <f t="shared" si="203"/>
        <v>53.277866115986797</v>
      </c>
      <c r="BI234">
        <f t="shared" si="204"/>
        <v>53.277866115986797</v>
      </c>
      <c r="BJ234">
        <f t="shared" si="188"/>
        <v>0</v>
      </c>
      <c r="BK234">
        <f t="shared" si="205"/>
        <v>0</v>
      </c>
      <c r="BM234">
        <f t="shared" si="206"/>
        <v>-13.424359765946885</v>
      </c>
      <c r="BN234">
        <f t="shared" si="189"/>
        <v>-172.4172116509134</v>
      </c>
      <c r="BQ234" s="56">
        <f t="shared" si="207"/>
        <v>16.334258040370109</v>
      </c>
      <c r="BR234" s="59"/>
      <c r="BS234" s="59"/>
      <c r="BT234" s="59">
        <v>17378.008000000002</v>
      </c>
      <c r="BU234" s="59">
        <v>-3.8028900000000001</v>
      </c>
      <c r="BV234" s="59">
        <v>-181.726</v>
      </c>
      <c r="BW234" s="61"/>
      <c r="BY234" s="59"/>
      <c r="BZ234" s="59"/>
      <c r="CA234" s="59"/>
      <c r="CC234" s="59"/>
    </row>
    <row r="235" spans="1:81" x14ac:dyDescent="0.2">
      <c r="A235">
        <f>A234+5000</f>
        <v>105000</v>
      </c>
      <c r="B235">
        <f t="shared" si="191"/>
        <v>105</v>
      </c>
      <c r="C235">
        <f t="shared" si="159"/>
        <v>1.002173884877736</v>
      </c>
      <c r="D235">
        <f t="shared" si="160"/>
        <v>6.5877978462779652E-2</v>
      </c>
      <c r="F235">
        <f t="shared" si="161"/>
        <v>1.2852025012835068E-2</v>
      </c>
      <c r="G235">
        <f t="shared" si="162"/>
        <v>6.620213129426189E-2</v>
      </c>
      <c r="H235">
        <f t="shared" si="163"/>
        <v>-3.0753905187057384</v>
      </c>
      <c r="J235">
        <f t="shared" si="164"/>
        <v>15</v>
      </c>
      <c r="M235">
        <f t="shared" si="165"/>
        <v>7.5978013258745144E-3</v>
      </c>
      <c r="N235">
        <f t="shared" si="166"/>
        <v>-1.5707963250000001</v>
      </c>
      <c r="O235">
        <f t="shared" si="167"/>
        <v>11.917250320533068</v>
      </c>
      <c r="P235">
        <f t="shared" si="168"/>
        <v>1.486785565612166</v>
      </c>
      <c r="Q235">
        <f t="shared" si="169"/>
        <v>12.53505850614385</v>
      </c>
      <c r="R235">
        <f t="shared" si="170"/>
        <v>1.4909352110872933</v>
      </c>
      <c r="S235">
        <f t="shared" si="171"/>
        <v>0.9996589041294045</v>
      </c>
      <c r="T235">
        <f t="shared" si="172"/>
        <v>-2.6119543006151453E-2</v>
      </c>
      <c r="U235">
        <f t="shared" si="173"/>
        <v>0.84799388664459419</v>
      </c>
      <c r="V235">
        <f t="shared" si="174"/>
        <v>-0.55860764994710044</v>
      </c>
      <c r="X235">
        <f t="shared" si="192"/>
        <v>-14.615183543636261</v>
      </c>
      <c r="Y235">
        <f t="shared" si="175"/>
        <v>-125.32393423743692</v>
      </c>
      <c r="Z235">
        <f t="shared" si="193"/>
        <v>54.676065762563084</v>
      </c>
      <c r="AC235">
        <v>1</v>
      </c>
      <c r="AD235">
        <f t="shared" si="176"/>
        <v>11.875220217000001</v>
      </c>
      <c r="AE235">
        <f t="shared" si="177"/>
        <v>-7.8344919556803099E-3</v>
      </c>
      <c r="AF235">
        <f t="shared" si="178"/>
        <v>1.25349546735E-2</v>
      </c>
      <c r="AG235">
        <f t="shared" si="194"/>
        <v>645.39151440127398</v>
      </c>
      <c r="AH235">
        <f t="shared" si="195"/>
        <v>-483.15409074790659</v>
      </c>
      <c r="AJ235">
        <f t="shared" si="179"/>
        <v>10500</v>
      </c>
      <c r="AK235">
        <f t="shared" si="180"/>
        <v>274.31758701270007</v>
      </c>
      <c r="AL235">
        <v>1</v>
      </c>
      <c r="AM235">
        <f t="shared" si="181"/>
        <v>12.4951067123274</v>
      </c>
      <c r="AN235">
        <f t="shared" si="196"/>
        <v>88.638911241275494</v>
      </c>
      <c r="AO235">
        <f t="shared" si="197"/>
        <v>-833.23506781155379</v>
      </c>
      <c r="AQ235">
        <f t="shared" si="182"/>
        <v>0.22675222784063853</v>
      </c>
      <c r="AR235">
        <f t="shared" si="183"/>
        <v>-47.617967846534093</v>
      </c>
      <c r="AT235">
        <f t="shared" si="209"/>
        <v>-22860.471994435298</v>
      </c>
      <c r="AU235">
        <f t="shared" si="210"/>
        <v>-30841.788647653215</v>
      </c>
      <c r="AV235">
        <f t="shared" si="198"/>
        <v>-2.2086528691555669</v>
      </c>
      <c r="AW235">
        <f t="shared" si="199"/>
        <v>-39095.51823661878</v>
      </c>
      <c r="AX235">
        <f t="shared" si="200"/>
        <v>-6016.426439355926</v>
      </c>
      <c r="AY235">
        <f t="shared" si="208"/>
        <v>-2.9889000648877397</v>
      </c>
      <c r="BA235">
        <f t="shared" si="184"/>
        <v>0.97053730251199166</v>
      </c>
      <c r="BB235">
        <f t="shared" si="201"/>
        <v>-0.25975535772695629</v>
      </c>
      <c r="BC235">
        <f t="shared" si="202"/>
        <v>0.78024719573217283</v>
      </c>
      <c r="BD235">
        <f t="shared" si="185"/>
        <v>-135.29512865654587</v>
      </c>
      <c r="BF235">
        <f t="shared" si="186"/>
        <v>-14.539637304329849</v>
      </c>
      <c r="BG235">
        <f t="shared" si="187"/>
        <v>-127.72749580119543</v>
      </c>
      <c r="BH235">
        <f t="shared" si="203"/>
        <v>52.272504198804569</v>
      </c>
      <c r="BI235">
        <f t="shared" si="204"/>
        <v>52.272504198804569</v>
      </c>
      <c r="BJ235">
        <f t="shared" si="188"/>
        <v>0</v>
      </c>
      <c r="BK235">
        <f t="shared" si="205"/>
        <v>0</v>
      </c>
      <c r="BM235">
        <f t="shared" si="206"/>
        <v>-14.27988194660289</v>
      </c>
      <c r="BN235">
        <f t="shared" si="189"/>
        <v>-172.43236714464956</v>
      </c>
      <c r="BQ235" s="56">
        <f t="shared" si="207"/>
        <v>16.642205442558179</v>
      </c>
      <c r="BR235" s="59"/>
      <c r="BS235" s="59"/>
      <c r="BT235" s="59">
        <v>17782.794000000002</v>
      </c>
      <c r="BU235" s="59">
        <v>-3.8474200000000001</v>
      </c>
      <c r="BV235" s="59">
        <v>-180.351</v>
      </c>
      <c r="BW235" s="61"/>
      <c r="BY235" s="59"/>
      <c r="BZ235" s="59"/>
      <c r="CA235" s="59"/>
      <c r="CC235" s="59"/>
    </row>
    <row r="236" spans="1:81" x14ac:dyDescent="0.2">
      <c r="A236">
        <f t="shared" ref="A236:A299" si="211">A235+5000</f>
        <v>110000</v>
      </c>
      <c r="B236">
        <f t="shared" si="191"/>
        <v>110</v>
      </c>
      <c r="C236">
        <f t="shared" si="159"/>
        <v>1.0023855987189814</v>
      </c>
      <c r="D236">
        <f t="shared" si="160"/>
        <v>6.9005301039320857E-2</v>
      </c>
      <c r="F236">
        <f t="shared" si="161"/>
        <v>1.1698889464302999E-2</v>
      </c>
      <c r="G236">
        <f t="shared" si="162"/>
        <v>6.3127653119194008E-2</v>
      </c>
      <c r="H236">
        <f t="shared" si="163"/>
        <v>-3.0784649968808062</v>
      </c>
      <c r="J236">
        <f t="shared" si="164"/>
        <v>15</v>
      </c>
      <c r="M236">
        <f t="shared" si="165"/>
        <v>7.2524467201529452E-3</v>
      </c>
      <c r="N236">
        <f t="shared" si="166"/>
        <v>-1.5707963250000001</v>
      </c>
      <c r="O236">
        <f t="shared" si="167"/>
        <v>12.480832825673899</v>
      </c>
      <c r="P236">
        <f t="shared" si="168"/>
        <v>1.4905874928041059</v>
      </c>
      <c r="Q236">
        <f t="shared" si="169"/>
        <v>13.128252997864214</v>
      </c>
      <c r="R236">
        <f t="shared" si="170"/>
        <v>1.4945508771939502</v>
      </c>
      <c r="S236">
        <f t="shared" si="171"/>
        <v>0.99962566402108211</v>
      </c>
      <c r="T236">
        <f t="shared" si="172"/>
        <v>-2.7362724126828265E-2</v>
      </c>
      <c r="U236">
        <f t="shared" si="173"/>
        <v>0.83661387312255087</v>
      </c>
      <c r="V236">
        <f t="shared" si="174"/>
        <v>-0.57972399915676387</v>
      </c>
      <c r="X236">
        <f t="shared" si="192"/>
        <v>-15.148635495318398</v>
      </c>
      <c r="Y236">
        <f t="shared" si="175"/>
        <v>-126.17701640690552</v>
      </c>
      <c r="Z236">
        <f t="shared" si="193"/>
        <v>53.822983593094477</v>
      </c>
      <c r="AC236">
        <v>1</v>
      </c>
      <c r="AD236">
        <f t="shared" si="176"/>
        <v>12.440706894</v>
      </c>
      <c r="AE236">
        <f t="shared" si="177"/>
        <v>-8.5983993345788434E-3</v>
      </c>
      <c r="AF236">
        <f t="shared" si="178"/>
        <v>1.3131857277E-2</v>
      </c>
      <c r="AG236">
        <f t="shared" si="194"/>
        <v>628.1855356098655</v>
      </c>
      <c r="AH236">
        <f t="shared" si="195"/>
        <v>-487.47027601280269</v>
      </c>
      <c r="AJ236">
        <f t="shared" si="179"/>
        <v>10500</v>
      </c>
      <c r="AK236">
        <f t="shared" si="180"/>
        <v>287.38032925140004</v>
      </c>
      <c r="AL236">
        <v>1</v>
      </c>
      <c r="AM236">
        <f t="shared" si="181"/>
        <v>13.090111793866802</v>
      </c>
      <c r="AN236">
        <f t="shared" si="196"/>
        <v>82.748799958125801</v>
      </c>
      <c r="AO236">
        <f t="shared" si="197"/>
        <v>-795.81071300878727</v>
      </c>
      <c r="AQ236">
        <f t="shared" si="182"/>
        <v>0.20660730150203507</v>
      </c>
      <c r="AR236">
        <f t="shared" si="183"/>
        <v>-45.45360633044772</v>
      </c>
      <c r="AT236">
        <f t="shared" si="209"/>
        <v>-22027.494305325661</v>
      </c>
      <c r="AU236">
        <f t="shared" si="210"/>
        <v>-28654.012956381732</v>
      </c>
      <c r="AV236">
        <f t="shared" si="198"/>
        <v>-2.2261837367013921</v>
      </c>
      <c r="AW236">
        <f t="shared" si="199"/>
        <v>-35612.412255175244</v>
      </c>
      <c r="AX236">
        <f t="shared" si="200"/>
        <v>-5479.0598502317698</v>
      </c>
      <c r="AY236">
        <f t="shared" si="208"/>
        <v>-2.9889370930331731</v>
      </c>
      <c r="BA236">
        <f t="shared" si="184"/>
        <v>1.003075906457856</v>
      </c>
      <c r="BB236">
        <f t="shared" si="201"/>
        <v>2.6675978622440207E-2</v>
      </c>
      <c r="BC236">
        <f t="shared" si="202"/>
        <v>0.76275335633178099</v>
      </c>
      <c r="BD236">
        <f t="shared" si="185"/>
        <v>-136.29745182281331</v>
      </c>
      <c r="BF236">
        <f t="shared" si="186"/>
        <v>-15.067909717722882</v>
      </c>
      <c r="BG236">
        <f t="shared" si="187"/>
        <v>-128.7267912062841</v>
      </c>
      <c r="BH236">
        <f t="shared" si="203"/>
        <v>51.273208793715895</v>
      </c>
      <c r="BI236">
        <f t="shared" si="204"/>
        <v>51.273208793715895</v>
      </c>
      <c r="BJ236">
        <f t="shared" si="188"/>
        <v>0</v>
      </c>
      <c r="BK236">
        <f t="shared" si="205"/>
        <v>0</v>
      </c>
      <c r="BM236">
        <f t="shared" si="206"/>
        <v>-15.094585696345323</v>
      </c>
      <c r="BN236">
        <f t="shared" si="189"/>
        <v>-172.42933938347079</v>
      </c>
      <c r="BQ236" s="56">
        <f t="shared" si="207"/>
        <v>16.928636778907578</v>
      </c>
      <c r="BR236" s="59"/>
      <c r="BS236" s="59"/>
      <c r="BT236" s="59">
        <v>18197.008999999998</v>
      </c>
      <c r="BU236" s="59">
        <v>-3.8303199999999999</v>
      </c>
      <c r="BV236" s="59">
        <v>-179.43</v>
      </c>
      <c r="BY236" s="59"/>
      <c r="BZ236" s="59"/>
      <c r="CA236" s="59"/>
      <c r="CC236" s="59"/>
    </row>
    <row r="237" spans="1:81" x14ac:dyDescent="0.2">
      <c r="A237">
        <f t="shared" si="211"/>
        <v>115000</v>
      </c>
      <c r="B237">
        <f t="shared" si="191"/>
        <v>115</v>
      </c>
      <c r="C237">
        <f t="shared" si="159"/>
        <v>1.0026071118420437</v>
      </c>
      <c r="D237">
        <f t="shared" si="160"/>
        <v>7.2131272294028978E-2</v>
      </c>
      <c r="F237">
        <f t="shared" si="161"/>
        <v>1.0694684082615187E-2</v>
      </c>
      <c r="G237">
        <f t="shared" si="162"/>
        <v>6.0328579941894868E-2</v>
      </c>
      <c r="H237">
        <f t="shared" si="163"/>
        <v>-3.0812640700581055</v>
      </c>
      <c r="J237">
        <f t="shared" si="164"/>
        <v>15</v>
      </c>
      <c r="M237">
        <f t="shared" si="165"/>
        <v>6.937122949711513E-3</v>
      </c>
      <c r="N237">
        <f t="shared" si="166"/>
        <v>-1.5707963250000001</v>
      </c>
      <c r="O237">
        <f t="shared" si="167"/>
        <v>13.044580146801264</v>
      </c>
      <c r="P237">
        <f t="shared" si="168"/>
        <v>1.4940608510483515</v>
      </c>
      <c r="Q237">
        <f t="shared" si="169"/>
        <v>13.721604275503923</v>
      </c>
      <c r="R237">
        <f t="shared" si="170"/>
        <v>1.4978538852778067</v>
      </c>
      <c r="S237">
        <f t="shared" si="171"/>
        <v>0.99959088141173458</v>
      </c>
      <c r="T237">
        <f t="shared" si="172"/>
        <v>-2.860582065404866E-2</v>
      </c>
      <c r="U237">
        <f t="shared" si="173"/>
        <v>0.82518188111376767</v>
      </c>
      <c r="V237">
        <f t="shared" si="174"/>
        <v>-0.60027221334972536</v>
      </c>
      <c r="X237">
        <f t="shared" si="192"/>
        <v>-15.664472864552536</v>
      </c>
      <c r="Y237">
        <f t="shared" si="175"/>
        <v>-127.0185794709905</v>
      </c>
      <c r="Z237">
        <f t="shared" si="193"/>
        <v>52.981420529009497</v>
      </c>
      <c r="AC237">
        <v>1</v>
      </c>
      <c r="AD237">
        <f t="shared" si="176"/>
        <v>13.006193571000001</v>
      </c>
      <c r="AE237">
        <f t="shared" si="177"/>
        <v>-9.3978372892400998E-3</v>
      </c>
      <c r="AF237">
        <f t="shared" si="178"/>
        <v>1.3728759880499999E-2</v>
      </c>
      <c r="AG237">
        <f t="shared" si="194"/>
        <v>611.13502593235398</v>
      </c>
      <c r="AH237">
        <f t="shared" si="195"/>
        <v>-491.18402493482893</v>
      </c>
      <c r="AJ237">
        <f t="shared" si="179"/>
        <v>10500</v>
      </c>
      <c r="AK237">
        <f t="shared" si="180"/>
        <v>300.44307149010001</v>
      </c>
      <c r="AL237">
        <v>1</v>
      </c>
      <c r="AM237">
        <f t="shared" si="181"/>
        <v>13.6851168754062</v>
      </c>
      <c r="AN237">
        <f t="shared" si="196"/>
        <v>77.604686861322762</v>
      </c>
      <c r="AO237">
        <f t="shared" si="197"/>
        <v>-761.58613828640182</v>
      </c>
      <c r="AQ237">
        <f t="shared" si="182"/>
        <v>0.18903234343396155</v>
      </c>
      <c r="AR237">
        <f t="shared" si="183"/>
        <v>-43.477438989811155</v>
      </c>
      <c r="AT237">
        <f t="shared" si="209"/>
        <v>-21239.899190767337</v>
      </c>
      <c r="AU237">
        <f t="shared" si="210"/>
        <v>-26663.435471801335</v>
      </c>
      <c r="AV237">
        <f t="shared" si="198"/>
        <v>-2.2434562172004098</v>
      </c>
      <c r="AW237">
        <f t="shared" si="199"/>
        <v>-32571.731355430693</v>
      </c>
      <c r="AX237">
        <f t="shared" si="200"/>
        <v>-5022.562687413757</v>
      </c>
      <c r="AY237">
        <f t="shared" si="208"/>
        <v>-2.9885976274972501</v>
      </c>
      <c r="BA237">
        <f t="shared" si="184"/>
        <v>1.0343627478649846</v>
      </c>
      <c r="BB237">
        <f t="shared" si="201"/>
        <v>0.2934574244536774</v>
      </c>
      <c r="BC237">
        <f t="shared" si="202"/>
        <v>0.74514141029684033</v>
      </c>
      <c r="BD237">
        <f t="shared" si="185"/>
        <v>-137.30654200078064</v>
      </c>
      <c r="BF237">
        <f t="shared" si="186"/>
        <v>-15.578742572957296</v>
      </c>
      <c r="BG237">
        <f t="shared" si="187"/>
        <v>-129.71715150406357</v>
      </c>
      <c r="BH237">
        <f t="shared" si="203"/>
        <v>50.282848495936435</v>
      </c>
      <c r="BI237">
        <f t="shared" si="204"/>
        <v>50.282848495936435</v>
      </c>
      <c r="BJ237">
        <f t="shared" si="188"/>
        <v>0</v>
      </c>
      <c r="BK237">
        <f t="shared" si="205"/>
        <v>0</v>
      </c>
      <c r="BM237">
        <f t="shared" si="206"/>
        <v>-15.872199997410974</v>
      </c>
      <c r="BN237">
        <f t="shared" si="189"/>
        <v>-172.41060950328293</v>
      </c>
      <c r="BQ237" s="56">
        <f t="shared" si="207"/>
        <v>17.195418224738816</v>
      </c>
      <c r="BR237" s="59"/>
      <c r="BS237" s="59"/>
      <c r="BT237" s="59">
        <v>18620.870999999999</v>
      </c>
      <c r="BU237" s="59">
        <v>-3.77474</v>
      </c>
      <c r="BV237" s="59">
        <v>-178.09100000000001</v>
      </c>
      <c r="BY237" s="59"/>
      <c r="BZ237" s="59"/>
      <c r="CA237" s="59"/>
      <c r="CC237" s="59"/>
    </row>
    <row r="238" spans="1:81" x14ac:dyDescent="0.2">
      <c r="A238">
        <f t="shared" si="211"/>
        <v>120000</v>
      </c>
      <c r="B238">
        <f t="shared" si="191"/>
        <v>120</v>
      </c>
      <c r="C238">
        <f t="shared" si="159"/>
        <v>1.0028384177533465</v>
      </c>
      <c r="D238">
        <f t="shared" si="160"/>
        <v>7.5255832051264057E-2</v>
      </c>
      <c r="F238">
        <f t="shared" si="161"/>
        <v>9.814761653864747E-3</v>
      </c>
      <c r="G238">
        <f t="shared" si="162"/>
        <v>5.7769209201431179E-2</v>
      </c>
      <c r="H238">
        <f t="shared" si="163"/>
        <v>-3.083823440798569</v>
      </c>
      <c r="J238">
        <f t="shared" si="164"/>
        <v>15</v>
      </c>
      <c r="M238">
        <f t="shared" si="165"/>
        <v>6.6480761601402007E-3</v>
      </c>
      <c r="N238">
        <f t="shared" si="166"/>
        <v>-1.5707963250000001</v>
      </c>
      <c r="O238">
        <f t="shared" si="167"/>
        <v>13.608471800828823</v>
      </c>
      <c r="P238">
        <f t="shared" si="168"/>
        <v>1.4972463953458701</v>
      </c>
      <c r="Q238">
        <f t="shared" si="169"/>
        <v>14.31509284305344</v>
      </c>
      <c r="R238">
        <f t="shared" si="170"/>
        <v>1.5008830457395714</v>
      </c>
      <c r="S238">
        <f t="shared" si="171"/>
        <v>0.99955455678485028</v>
      </c>
      <c r="T238">
        <f t="shared" si="172"/>
        <v>-2.9848828754963953E-2</v>
      </c>
      <c r="U238">
        <f t="shared" si="173"/>
        <v>0.81372837311508883</v>
      </c>
      <c r="V238">
        <f t="shared" si="174"/>
        <v>-0.62025825701748605</v>
      </c>
      <c r="X238">
        <f t="shared" si="192"/>
        <v>-16.164250900604692</v>
      </c>
      <c r="Y238">
        <f t="shared" si="175"/>
        <v>-127.84645524243138</v>
      </c>
      <c r="Z238">
        <f t="shared" si="193"/>
        <v>52.153544757568625</v>
      </c>
      <c r="AC238">
        <v>1</v>
      </c>
      <c r="AD238">
        <f t="shared" si="176"/>
        <v>13.571680248000002</v>
      </c>
      <c r="AE238">
        <f t="shared" si="177"/>
        <v>-1.0232805819664076E-2</v>
      </c>
      <c r="AF238">
        <f t="shared" si="178"/>
        <v>1.4325662484000001E-2</v>
      </c>
      <c r="AG238">
        <f t="shared" si="194"/>
        <v>594.28767958132812</v>
      </c>
      <c r="AH238">
        <f t="shared" si="195"/>
        <v>-494.30387139745443</v>
      </c>
      <c r="AJ238">
        <f t="shared" si="179"/>
        <v>10500</v>
      </c>
      <c r="AK238">
        <f t="shared" si="180"/>
        <v>313.50581372880004</v>
      </c>
      <c r="AL238">
        <v>1</v>
      </c>
      <c r="AM238">
        <f t="shared" si="181"/>
        <v>14.280121956945601</v>
      </c>
      <c r="AN238">
        <f t="shared" si="196"/>
        <v>73.085904869257845</v>
      </c>
      <c r="AO238">
        <f t="shared" si="197"/>
        <v>-730.16982113792619</v>
      </c>
      <c r="AQ238">
        <f t="shared" si="182"/>
        <v>0.1736080970816479</v>
      </c>
      <c r="AR238">
        <f t="shared" si="183"/>
        <v>-41.66594329959549</v>
      </c>
      <c r="AT238">
        <f t="shared" si="209"/>
        <v>-20492.463925245695</v>
      </c>
      <c r="AU238">
        <f t="shared" si="210"/>
        <v>-24847.371915577194</v>
      </c>
      <c r="AV238">
        <f t="shared" si="198"/>
        <v>-2.2604378727071452</v>
      </c>
      <c r="AW238">
        <f t="shared" si="199"/>
        <v>-29901.898335565787</v>
      </c>
      <c r="AX238">
        <f t="shared" si="200"/>
        <v>-4631.4590412246262</v>
      </c>
      <c r="AY238">
        <f t="shared" si="208"/>
        <v>-2.9879252765708229</v>
      </c>
      <c r="BA238">
        <f t="shared" si="184"/>
        <v>1.0644184158283505</v>
      </c>
      <c r="BB238">
        <f t="shared" si="201"/>
        <v>0.54224759611849582</v>
      </c>
      <c r="BC238">
        <f t="shared" si="202"/>
        <v>0.72748740386367761</v>
      </c>
      <c r="BD238">
        <f t="shared" si="185"/>
        <v>-138.31804206205348</v>
      </c>
      <c r="BF238">
        <f t="shared" si="186"/>
        <v>-16.073712813594547</v>
      </c>
      <c r="BG238">
        <f t="shared" si="187"/>
        <v>-130.69626862001121</v>
      </c>
      <c r="BH238">
        <f t="shared" si="203"/>
        <v>49.30373137998879</v>
      </c>
      <c r="BI238">
        <f t="shared" si="204"/>
        <v>49.30373137998879</v>
      </c>
      <c r="BJ238">
        <f t="shared" si="188"/>
        <v>0</v>
      </c>
      <c r="BK238">
        <f t="shared" si="205"/>
        <v>0</v>
      </c>
      <c r="BM238">
        <f t="shared" si="206"/>
        <v>-16.61596040971304</v>
      </c>
      <c r="BN238">
        <f t="shared" si="189"/>
        <v>-172.37822655795776</v>
      </c>
      <c r="BQ238" s="56">
        <f t="shared" si="207"/>
        <v>17.444208396403631</v>
      </c>
      <c r="BR238" s="59"/>
      <c r="BS238" s="59"/>
      <c r="BT238" s="59">
        <v>19054.607</v>
      </c>
      <c r="BU238" s="59">
        <v>-3.7312500000000002</v>
      </c>
      <c r="BV238" s="59">
        <v>-176.916</v>
      </c>
      <c r="BY238" s="59"/>
      <c r="BZ238" s="59"/>
      <c r="CA238" s="59"/>
      <c r="CC238" s="59"/>
    </row>
    <row r="239" spans="1:81" x14ac:dyDescent="0.2">
      <c r="A239">
        <f t="shared" si="211"/>
        <v>125000</v>
      </c>
      <c r="B239">
        <f t="shared" si="191"/>
        <v>125</v>
      </c>
      <c r="C239">
        <f t="shared" si="159"/>
        <v>1.0030795096783625</v>
      </c>
      <c r="D239">
        <f t="shared" si="160"/>
        <v>7.8378920299955093E-2</v>
      </c>
      <c r="F239">
        <f t="shared" si="161"/>
        <v>9.0393818343185231E-3</v>
      </c>
      <c r="G239">
        <f t="shared" si="162"/>
        <v>5.5419794535910082E-2</v>
      </c>
      <c r="H239">
        <f t="shared" si="163"/>
        <v>-3.0861728554640901</v>
      </c>
      <c r="J239">
        <f t="shared" si="164"/>
        <v>15</v>
      </c>
      <c r="M239">
        <f t="shared" si="165"/>
        <v>6.3821531137345927E-3</v>
      </c>
      <c r="N239">
        <f t="shared" si="166"/>
        <v>-1.5707963250000001</v>
      </c>
      <c r="O239">
        <f t="shared" si="167"/>
        <v>14.172490559718639</v>
      </c>
      <c r="P239">
        <f t="shared" si="168"/>
        <v>1.5001784189717686</v>
      </c>
      <c r="Q239">
        <f t="shared" si="169"/>
        <v>14.908702304730198</v>
      </c>
      <c r="R239">
        <f t="shared" si="170"/>
        <v>1.5036710101494859</v>
      </c>
      <c r="S239">
        <f t="shared" si="171"/>
        <v>0.9995166906452555</v>
      </c>
      <c r="T239">
        <f t="shared" si="172"/>
        <v>-3.1091744598363752E-2</v>
      </c>
      <c r="U239">
        <f t="shared" si="173"/>
        <v>0.80228110704599742</v>
      </c>
      <c r="V239">
        <f t="shared" si="174"/>
        <v>-0.63968956927713005</v>
      </c>
      <c r="X239">
        <f t="shared" si="192"/>
        <v>-16.649295918064571</v>
      </c>
      <c r="Y239">
        <f t="shared" si="175"/>
        <v>-128.65894185400114</v>
      </c>
      <c r="Z239">
        <f t="shared" si="193"/>
        <v>51.341058145998858</v>
      </c>
      <c r="AC239">
        <v>1</v>
      </c>
      <c r="AD239">
        <f t="shared" si="176"/>
        <v>14.137166925000001</v>
      </c>
      <c r="AE239">
        <f t="shared" si="177"/>
        <v>-1.1103304925850779E-2</v>
      </c>
      <c r="AF239">
        <f t="shared" si="178"/>
        <v>1.4922565087500001E-2</v>
      </c>
      <c r="AG239">
        <f t="shared" si="194"/>
        <v>577.68479725827194</v>
      </c>
      <c r="AH239">
        <f t="shared" si="195"/>
        <v>-496.84557658236974</v>
      </c>
      <c r="AJ239">
        <f t="shared" si="179"/>
        <v>10500</v>
      </c>
      <c r="AK239">
        <f t="shared" si="180"/>
        <v>326.5685559675</v>
      </c>
      <c r="AL239">
        <v>1</v>
      </c>
      <c r="AM239">
        <f t="shared" si="181"/>
        <v>14.875127038485003</v>
      </c>
      <c r="AN239">
        <f t="shared" si="196"/>
        <v>69.095199123260187</v>
      </c>
      <c r="AO239">
        <f t="shared" si="197"/>
        <v>-701.23130874041283</v>
      </c>
      <c r="AQ239">
        <f t="shared" si="182"/>
        <v>0.15999744004095934</v>
      </c>
      <c r="AR239">
        <f t="shared" si="183"/>
        <v>-39.999360010239833</v>
      </c>
      <c r="AT239">
        <f t="shared" si="209"/>
        <v>-19781.076998501489</v>
      </c>
      <c r="AU239">
        <f t="shared" si="210"/>
        <v>-23186.516198324884</v>
      </c>
      <c r="AV239">
        <f t="shared" si="198"/>
        <v>-2.2771038252282834</v>
      </c>
      <c r="AW239">
        <f t="shared" si="199"/>
        <v>-27545.212731304884</v>
      </c>
      <c r="AX239">
        <f t="shared" si="200"/>
        <v>-4293.7459995424761</v>
      </c>
      <c r="AY239">
        <f t="shared" si="208"/>
        <v>-2.986957176527806</v>
      </c>
      <c r="BA239">
        <f t="shared" si="184"/>
        <v>1.0932673190641597</v>
      </c>
      <c r="BB239">
        <f t="shared" si="201"/>
        <v>0.77452731950403431</v>
      </c>
      <c r="BC239">
        <f t="shared" si="202"/>
        <v>0.70985335129952265</v>
      </c>
      <c r="BD239">
        <f t="shared" si="185"/>
        <v>-139.3283988508459</v>
      </c>
      <c r="BF239">
        <f t="shared" si="186"/>
        <v>-16.554165681617814</v>
      </c>
      <c r="BG239">
        <f t="shared" si="187"/>
        <v>-131.6622971777166</v>
      </c>
      <c r="BH239">
        <f t="shared" si="203"/>
        <v>48.337702822283404</v>
      </c>
      <c r="BI239">
        <f t="shared" si="204"/>
        <v>48.337702822283404</v>
      </c>
      <c r="BJ239">
        <f t="shared" si="188"/>
        <v>0</v>
      </c>
      <c r="BK239">
        <f t="shared" si="205"/>
        <v>0</v>
      </c>
      <c r="BM239">
        <f t="shared" si="206"/>
        <v>-17.328693001121845</v>
      </c>
      <c r="BN239">
        <f t="shared" si="189"/>
        <v>-172.3338983268707</v>
      </c>
      <c r="BQ239" s="56">
        <f t="shared" si="207"/>
        <v>17.67648811978917</v>
      </c>
      <c r="BR239" s="59"/>
      <c r="BS239" s="59"/>
      <c r="BT239" s="59">
        <v>19498.446</v>
      </c>
      <c r="BU239" s="59">
        <v>-3.7243200000000001</v>
      </c>
      <c r="BV239" s="59">
        <v>-175.511</v>
      </c>
      <c r="BY239" s="59"/>
      <c r="BZ239" s="59"/>
      <c r="CA239" s="59"/>
      <c r="CC239" s="59"/>
    </row>
    <row r="240" spans="1:81" x14ac:dyDescent="0.2">
      <c r="A240">
        <f t="shared" si="211"/>
        <v>130000</v>
      </c>
      <c r="B240">
        <f t="shared" si="191"/>
        <v>130</v>
      </c>
      <c r="C240">
        <f t="shared" si="159"/>
        <v>1.0033303805625986</v>
      </c>
      <c r="D240">
        <f t="shared" si="160"/>
        <v>8.1500477200358662E-2</v>
      </c>
      <c r="F240">
        <f t="shared" si="161"/>
        <v>8.3525815569931092E-3</v>
      </c>
      <c r="G240">
        <f t="shared" si="162"/>
        <v>5.3255346458102995E-2</v>
      </c>
      <c r="H240">
        <f t="shared" si="163"/>
        <v>-3.0883373035418971</v>
      </c>
      <c r="J240">
        <f t="shared" si="164"/>
        <v>15</v>
      </c>
      <c r="M240">
        <f t="shared" si="165"/>
        <v>6.1366856862832614E-3</v>
      </c>
      <c r="N240">
        <f t="shared" si="166"/>
        <v>-1.5707963250000001</v>
      </c>
      <c r="O240">
        <f t="shared" si="167"/>
        <v>14.736621829320434</v>
      </c>
      <c r="P240">
        <f t="shared" si="168"/>
        <v>1.5028859833563675</v>
      </c>
      <c r="Q240">
        <f t="shared" si="169"/>
        <v>15.50241877292091</v>
      </c>
      <c r="R240">
        <f t="shared" si="170"/>
        <v>1.5062454446515647</v>
      </c>
      <c r="S240">
        <f t="shared" si="171"/>
        <v>0.99947728351909637</v>
      </c>
      <c r="T240">
        <f t="shared" si="172"/>
        <v>-3.2334564354746506E-2</v>
      </c>
      <c r="U240">
        <f t="shared" si="173"/>
        <v>0.79086520756862289</v>
      </c>
      <c r="V240">
        <f t="shared" si="174"/>
        <v>-0.65857485793611725</v>
      </c>
      <c r="X240">
        <f t="shared" si="192"/>
        <v>-17.120747446263053</v>
      </c>
      <c r="Y240">
        <f t="shared" si="175"/>
        <v>-129.45472297702398</v>
      </c>
      <c r="Z240">
        <f t="shared" si="193"/>
        <v>50.545277022976023</v>
      </c>
      <c r="AC240">
        <v>1</v>
      </c>
      <c r="AD240">
        <f t="shared" si="176"/>
        <v>14.702653602</v>
      </c>
      <c r="AE240">
        <f t="shared" si="177"/>
        <v>-1.2009334607800203E-2</v>
      </c>
      <c r="AF240">
        <f t="shared" si="178"/>
        <v>1.5519467690999999E-2</v>
      </c>
      <c r="AG240">
        <f t="shared" si="194"/>
        <v>561.36166094124565</v>
      </c>
      <c r="AH240">
        <f t="shared" si="195"/>
        <v>-498.83025477242217</v>
      </c>
      <c r="AJ240">
        <f t="shared" si="179"/>
        <v>10500</v>
      </c>
      <c r="AK240">
        <f t="shared" si="180"/>
        <v>339.63129820620003</v>
      </c>
      <c r="AL240">
        <v>1</v>
      </c>
      <c r="AM240">
        <f t="shared" si="181"/>
        <v>15.470132120024401</v>
      </c>
      <c r="AN240">
        <f t="shared" si="196"/>
        <v>65.553487379074497</v>
      </c>
      <c r="AO240">
        <f t="shared" si="197"/>
        <v>-674.48981247643462</v>
      </c>
      <c r="AQ240">
        <f t="shared" si="182"/>
        <v>0.14792680581648202</v>
      </c>
      <c r="AR240">
        <f t="shared" si="183"/>
        <v>-38.460969512285324</v>
      </c>
      <c r="AT240">
        <f t="shared" si="209"/>
        <v>-19102.454783196776</v>
      </c>
      <c r="AU240">
        <f t="shared" si="210"/>
        <v>-21664.304093060204</v>
      </c>
      <c r="AV240">
        <f t="shared" si="198"/>
        <v>-2.2934353932884766</v>
      </c>
      <c r="AW240">
        <f t="shared" si="199"/>
        <v>-25454.748202906463</v>
      </c>
      <c r="AX240">
        <f t="shared" si="200"/>
        <v>-4000.0122623899415</v>
      </c>
      <c r="AY240">
        <f t="shared" si="208"/>
        <v>-2.9857252035553929</v>
      </c>
      <c r="BA240">
        <f t="shared" si="184"/>
        <v>1.1209369953528714</v>
      </c>
      <c r="BB240">
        <f t="shared" si="201"/>
        <v>0.991624056724556</v>
      </c>
      <c r="BC240">
        <f t="shared" si="202"/>
        <v>0.69228981026691638</v>
      </c>
      <c r="BD240">
        <f t="shared" si="185"/>
        <v>-140.33471562646898</v>
      </c>
      <c r="BF240">
        <f t="shared" si="186"/>
        <v>-17.021257008823198</v>
      </c>
      <c r="BG240">
        <f t="shared" si="187"/>
        <v>-132.61377565720747</v>
      </c>
      <c r="BH240">
        <f t="shared" si="203"/>
        <v>47.386224342792531</v>
      </c>
      <c r="BI240">
        <f t="shared" si="204"/>
        <v>47.386224342792531</v>
      </c>
      <c r="BJ240">
        <f t="shared" si="188"/>
        <v>0</v>
      </c>
      <c r="BK240">
        <f t="shared" si="205"/>
        <v>0</v>
      </c>
      <c r="BM240">
        <f t="shared" si="206"/>
        <v>-18.012881065547756</v>
      </c>
      <c r="BN240">
        <f t="shared" si="189"/>
        <v>-172.27906003073852</v>
      </c>
      <c r="BQ240" s="56">
        <f t="shared" si="207"/>
        <v>17.893584857009692</v>
      </c>
      <c r="BR240" s="59"/>
      <c r="BS240" s="59"/>
      <c r="BT240" s="59">
        <v>19952.623</v>
      </c>
      <c r="BU240" s="59">
        <v>-3.67421</v>
      </c>
      <c r="BV240" s="59">
        <v>-174.244</v>
      </c>
      <c r="BY240" s="59"/>
      <c r="BZ240" s="59"/>
      <c r="CA240" s="59"/>
      <c r="CC240" s="59"/>
    </row>
    <row r="241" spans="1:81" x14ac:dyDescent="0.2">
      <c r="A241">
        <f t="shared" si="211"/>
        <v>135000</v>
      </c>
      <c r="B241">
        <f t="shared" si="191"/>
        <v>135</v>
      </c>
      <c r="C241">
        <f t="shared" si="159"/>
        <v>1.0035910230726215</v>
      </c>
      <c r="D241">
        <f t="shared" si="160"/>
        <v>8.4620443090768091E-2</v>
      </c>
      <c r="F241">
        <f t="shared" si="161"/>
        <v>7.7413381289465405E-3</v>
      </c>
      <c r="G241">
        <f t="shared" si="162"/>
        <v>5.1254712980552911E-2</v>
      </c>
      <c r="H241">
        <f t="shared" si="163"/>
        <v>-3.0903379370194473</v>
      </c>
      <c r="J241">
        <f t="shared" si="164"/>
        <v>15</v>
      </c>
      <c r="M241">
        <f t="shared" si="165"/>
        <v>5.9094010312357335E-3</v>
      </c>
      <c r="N241">
        <f t="shared" si="166"/>
        <v>-1.5707963250000001</v>
      </c>
      <c r="O241">
        <f t="shared" si="167"/>
        <v>15.300853165076193</v>
      </c>
      <c r="P241">
        <f t="shared" si="168"/>
        <v>1.5053938777598028</v>
      </c>
      <c r="Q241">
        <f t="shared" si="169"/>
        <v>16.096230406684327</v>
      </c>
      <c r="R241">
        <f t="shared" si="170"/>
        <v>1.5086299452830618</v>
      </c>
      <c r="S241">
        <f t="shared" si="171"/>
        <v>0.99943633595381765</v>
      </c>
      <c r="T241">
        <f t="shared" si="172"/>
        <v>-3.3577284196390091E-2</v>
      </c>
      <c r="U241">
        <f t="shared" si="173"/>
        <v>0.77950326289054694</v>
      </c>
      <c r="V241">
        <f t="shared" si="174"/>
        <v>-0.67692390668174018</v>
      </c>
      <c r="X241">
        <f t="shared" si="192"/>
        <v>-17.579591449457222</v>
      </c>
      <c r="Y241">
        <f t="shared" si="175"/>
        <v>-130.23280202081895</v>
      </c>
      <c r="Z241">
        <f t="shared" si="193"/>
        <v>49.767197979181049</v>
      </c>
      <c r="AC241">
        <v>1</v>
      </c>
      <c r="AD241">
        <f t="shared" si="176"/>
        <v>15.268140279000002</v>
      </c>
      <c r="AE241">
        <f t="shared" si="177"/>
        <v>-1.2950894865512349E-2</v>
      </c>
      <c r="AF241">
        <f t="shared" si="178"/>
        <v>1.6116370294499999E-2</v>
      </c>
      <c r="AG241">
        <f t="shared" si="194"/>
        <v>545.34794776086142</v>
      </c>
      <c r="AH241">
        <f t="shared" si="195"/>
        <v>-500.28286700048034</v>
      </c>
      <c r="AJ241">
        <f t="shared" si="179"/>
        <v>10500</v>
      </c>
      <c r="AK241">
        <f t="shared" si="180"/>
        <v>352.69404044490005</v>
      </c>
      <c r="AL241">
        <v>1</v>
      </c>
      <c r="AM241">
        <f t="shared" si="181"/>
        <v>16.065137201563804</v>
      </c>
      <c r="AN241">
        <f t="shared" si="196"/>
        <v>62.395937419941262</v>
      </c>
      <c r="AO241">
        <f t="shared" si="197"/>
        <v>-649.70525502664543</v>
      </c>
      <c r="AQ241">
        <f t="shared" si="182"/>
        <v>0.13717232959767356</v>
      </c>
      <c r="AR241">
        <f t="shared" si="183"/>
        <v>-37.03652899137186</v>
      </c>
      <c r="AT241">
        <f t="shared" si="209"/>
        <v>-18453.934259114256</v>
      </c>
      <c r="AU241">
        <f t="shared" si="210"/>
        <v>-20266.420043954549</v>
      </c>
      <c r="AV241">
        <f t="shared" si="198"/>
        <v>-2.3094189957429752</v>
      </c>
      <c r="AW241">
        <f t="shared" si="199"/>
        <v>-23592.029088001589</v>
      </c>
      <c r="AX241">
        <f t="shared" si="200"/>
        <v>-3742.8041735783895</v>
      </c>
      <c r="AY241">
        <f t="shared" si="208"/>
        <v>-2.9842569161555756</v>
      </c>
      <c r="BA241">
        <f t="shared" si="184"/>
        <v>1.1474574919758143</v>
      </c>
      <c r="BB241">
        <f t="shared" si="201"/>
        <v>1.1947321178716617</v>
      </c>
      <c r="BC241">
        <f t="shared" si="202"/>
        <v>0.67483792041260049</v>
      </c>
      <c r="BD241">
        <f t="shared" si="185"/>
        <v>-141.33463526079103</v>
      </c>
      <c r="BF241">
        <f t="shared" si="186"/>
        <v>-17.475986598590918</v>
      </c>
      <c r="BG241">
        <f t="shared" si="187"/>
        <v>-133.54956226832721</v>
      </c>
      <c r="BH241">
        <f t="shared" si="203"/>
        <v>46.450437731672793</v>
      </c>
      <c r="BI241">
        <f t="shared" si="204"/>
        <v>46.450437731672793</v>
      </c>
      <c r="BJ241">
        <f t="shared" si="188"/>
        <v>0</v>
      </c>
      <c r="BK241">
        <f t="shared" si="205"/>
        <v>0</v>
      </c>
      <c r="BM241">
        <f t="shared" si="206"/>
        <v>-18.670718716462581</v>
      </c>
      <c r="BN241">
        <f t="shared" si="189"/>
        <v>-172.2149270075362</v>
      </c>
      <c r="BQ241" s="56">
        <f t="shared" si="207"/>
        <v>18.096692918156798</v>
      </c>
      <c r="BR241" s="59"/>
      <c r="BS241" s="59"/>
      <c r="BT241" s="59">
        <v>20417.379000000001</v>
      </c>
      <c r="BU241" s="59">
        <v>-3.6440899999999998</v>
      </c>
      <c r="BV241" s="59">
        <v>-173.369</v>
      </c>
      <c r="BY241" s="59"/>
      <c r="BZ241" s="59"/>
      <c r="CA241" s="59"/>
      <c r="CC241" s="59"/>
    </row>
    <row r="242" spans="1:81" x14ac:dyDescent="0.2">
      <c r="A242">
        <f t="shared" si="211"/>
        <v>140000</v>
      </c>
      <c r="B242">
        <f t="shared" si="191"/>
        <v>140</v>
      </c>
      <c r="C242">
        <f t="shared" si="159"/>
        <v>1.0038614295971187</v>
      </c>
      <c r="D242">
        <f t="shared" si="160"/>
        <v>8.7738758494171232E-2</v>
      </c>
      <c r="F242">
        <f t="shared" si="161"/>
        <v>7.1949413046905669E-3</v>
      </c>
      <c r="G242">
        <f t="shared" si="162"/>
        <v>4.9399866502606589E-2</v>
      </c>
      <c r="H242">
        <f t="shared" si="163"/>
        <v>-3.0921927834973935</v>
      </c>
      <c r="J242">
        <f t="shared" si="164"/>
        <v>15</v>
      </c>
      <c r="M242">
        <f t="shared" si="165"/>
        <v>5.6983509944058854E-3</v>
      </c>
      <c r="N242">
        <f t="shared" si="166"/>
        <v>-1.5707963250000001</v>
      </c>
      <c r="O242">
        <f t="shared" si="167"/>
        <v>15.86517389068805</v>
      </c>
      <c r="P242">
        <f t="shared" si="168"/>
        <v>1.5077233754602577</v>
      </c>
      <c r="Q242">
        <f t="shared" si="169"/>
        <v>16.69012704844523</v>
      </c>
      <c r="R242">
        <f t="shared" si="170"/>
        <v>1.5108447590132514</v>
      </c>
      <c r="S242">
        <f t="shared" si="171"/>
        <v>0.99939384851814217</v>
      </c>
      <c r="T242">
        <f t="shared" si="172"/>
        <v>-3.4819900297422199E-2</v>
      </c>
      <c r="U242">
        <f t="shared" si="173"/>
        <v>0.76821544094248362</v>
      </c>
      <c r="V242">
        <f t="shared" si="174"/>
        <v>-0.69474739641729211</v>
      </c>
      <c r="X242">
        <f t="shared" si="192"/>
        <v>-18.026686756117286</v>
      </c>
      <c r="Y242">
        <f t="shared" si="175"/>
        <v>-130.99244811512938</v>
      </c>
      <c r="Z242">
        <f t="shared" si="193"/>
        <v>49.007551884870622</v>
      </c>
      <c r="AC242">
        <v>1</v>
      </c>
      <c r="AD242">
        <f t="shared" si="176"/>
        <v>15.833626956000002</v>
      </c>
      <c r="AE242">
        <f t="shared" si="177"/>
        <v>-1.3927985698987214E-2</v>
      </c>
      <c r="AF242">
        <f t="shared" si="178"/>
        <v>1.6713272897999999E-2</v>
      </c>
      <c r="AG242">
        <f t="shared" si="194"/>
        <v>529.66816686868503</v>
      </c>
      <c r="AH242">
        <f t="shared" si="195"/>
        <v>-501.23100989742596</v>
      </c>
      <c r="AJ242">
        <f t="shared" si="179"/>
        <v>10500</v>
      </c>
      <c r="AK242">
        <f t="shared" si="180"/>
        <v>365.75678268360002</v>
      </c>
      <c r="AL242">
        <v>1</v>
      </c>
      <c r="AM242">
        <f t="shared" si="181"/>
        <v>16.660142283103202</v>
      </c>
      <c r="AN242">
        <f t="shared" si="196"/>
        <v>59.568996747021615</v>
      </c>
      <c r="AO242">
        <f t="shared" si="197"/>
        <v>-626.67117878349177</v>
      </c>
      <c r="AQ242">
        <f t="shared" si="182"/>
        <v>0.12754939350263389</v>
      </c>
      <c r="AR242">
        <f t="shared" si="183"/>
        <v>-35.713830180737489</v>
      </c>
      <c r="AT242">
        <f t="shared" si="209"/>
        <v>-17833.320315354471</v>
      </c>
      <c r="AU242">
        <f t="shared" si="210"/>
        <v>-18980.410675007875</v>
      </c>
      <c r="AV242">
        <f t="shared" si="198"/>
        <v>-2.3250452611599282</v>
      </c>
      <c r="AW242">
        <f t="shared" si="199"/>
        <v>-21925.270518466885</v>
      </c>
      <c r="AX242">
        <f t="shared" si="200"/>
        <v>-3516.1635527672543</v>
      </c>
      <c r="AY242">
        <f t="shared" si="208"/>
        <v>-2.9825762956541313</v>
      </c>
      <c r="BA242">
        <f t="shared" si="184"/>
        <v>1.1728608127570816</v>
      </c>
      <c r="BB242">
        <f t="shared" si="201"/>
        <v>1.3849295204315548</v>
      </c>
      <c r="BC242">
        <f t="shared" si="202"/>
        <v>0.65753103449420314</v>
      </c>
      <c r="BD242">
        <f t="shared" si="185"/>
        <v>-142.32624678156267</v>
      </c>
      <c r="BF242">
        <f t="shared" si="186"/>
        <v>-17.91922482950276</v>
      </c>
      <c r="BG242">
        <f t="shared" si="187"/>
        <v>-134.46878235204153</v>
      </c>
      <c r="BH242">
        <f t="shared" si="203"/>
        <v>45.531217647958471</v>
      </c>
      <c r="BI242">
        <f t="shared" si="204"/>
        <v>45.531217647958471</v>
      </c>
      <c r="BJ242">
        <f t="shared" si="188"/>
        <v>0</v>
      </c>
      <c r="BK242">
        <f t="shared" si="205"/>
        <v>0</v>
      </c>
      <c r="BM242">
        <f t="shared" si="206"/>
        <v>-19.304154349934311</v>
      </c>
      <c r="BN242">
        <f t="shared" si="189"/>
        <v>-172.14253557047886</v>
      </c>
      <c r="BQ242" s="56">
        <f t="shared" si="207"/>
        <v>18.28689032071669</v>
      </c>
      <c r="BR242" s="59"/>
      <c r="BS242" s="59"/>
      <c r="BT242" s="59">
        <v>20892.960999999999</v>
      </c>
      <c r="BU242" s="59">
        <v>-3.5620099999999999</v>
      </c>
      <c r="BV242" s="59">
        <v>-172.084</v>
      </c>
      <c r="BY242" s="59"/>
      <c r="BZ242" s="59"/>
      <c r="CA242" s="59"/>
      <c r="CC242" s="59"/>
    </row>
    <row r="243" spans="1:81" x14ac:dyDescent="0.2">
      <c r="A243">
        <f t="shared" si="211"/>
        <v>145000</v>
      </c>
      <c r="B243">
        <f t="shared" si="191"/>
        <v>145</v>
      </c>
      <c r="C243">
        <f t="shared" si="159"/>
        <v>1.0041415922479993</v>
      </c>
      <c r="D243">
        <f t="shared" si="160"/>
        <v>9.0855364124855342E-2</v>
      </c>
      <c r="F243">
        <f t="shared" si="161"/>
        <v>6.7045166659743874E-3</v>
      </c>
      <c r="G243">
        <f t="shared" si="162"/>
        <v>4.7675344709470283E-2</v>
      </c>
      <c r="H243">
        <f t="shared" si="163"/>
        <v>-3.09391730529053</v>
      </c>
      <c r="J243">
        <f t="shared" si="164"/>
        <v>15</v>
      </c>
      <c r="M243">
        <f t="shared" si="165"/>
        <v>5.5018561325298216E-3</v>
      </c>
      <c r="N243">
        <f t="shared" si="166"/>
        <v>-1.5707963250000001</v>
      </c>
      <c r="O243">
        <f t="shared" si="167"/>
        <v>16.42957479510795</v>
      </c>
      <c r="P243">
        <f t="shared" si="168"/>
        <v>1.5098928350129437</v>
      </c>
      <c r="Q243">
        <f t="shared" si="169"/>
        <v>17.284099935360604</v>
      </c>
      <c r="R243">
        <f t="shared" si="170"/>
        <v>1.5129073569138523</v>
      </c>
      <c r="S243">
        <f t="shared" si="171"/>
        <v>0.99934982180204834</v>
      </c>
      <c r="T243">
        <f t="shared" si="172"/>
        <v>-3.6062408833890752E-2</v>
      </c>
      <c r="U243">
        <f t="shared" si="173"/>
        <v>0.75701961950843499</v>
      </c>
      <c r="V243">
        <f t="shared" si="174"/>
        <v>-0.71205674127675922</v>
      </c>
      <c r="X243">
        <f t="shared" si="192"/>
        <v>-18.462786261807345</v>
      </c>
      <c r="Y243">
        <f t="shared" si="175"/>
        <v>-131.73315145835826</v>
      </c>
      <c r="Z243">
        <f t="shared" si="193"/>
        <v>48.266848541641735</v>
      </c>
      <c r="AC243">
        <v>1</v>
      </c>
      <c r="AD243">
        <f t="shared" si="176"/>
        <v>16.399113632999999</v>
      </c>
      <c r="AE243">
        <f t="shared" si="177"/>
        <v>-1.4940607108224807E-2</v>
      </c>
      <c r="AF243">
        <f t="shared" si="178"/>
        <v>1.7310175501499998E-2</v>
      </c>
      <c r="AG243">
        <f t="shared" si="194"/>
        <v>514.34210581691229</v>
      </c>
      <c r="AH243">
        <f t="shared" si="195"/>
        <v>-501.70394410356619</v>
      </c>
      <c r="AJ243">
        <f t="shared" si="179"/>
        <v>10500</v>
      </c>
      <c r="AK243">
        <f t="shared" si="180"/>
        <v>378.81952492230005</v>
      </c>
      <c r="AL243">
        <v>1</v>
      </c>
      <c r="AM243">
        <f t="shared" si="181"/>
        <v>17.255147364642603</v>
      </c>
      <c r="AN243">
        <f t="shared" si="196"/>
        <v>57.028119506003556</v>
      </c>
      <c r="AO243">
        <f t="shared" si="197"/>
        <v>-605.20908108224069</v>
      </c>
      <c r="AQ243">
        <f t="shared" si="182"/>
        <v>0.11890465036087561</v>
      </c>
      <c r="AR243">
        <f t="shared" si="183"/>
        <v>-34.482348604653929</v>
      </c>
      <c r="AT243">
        <f t="shared" si="209"/>
        <v>-17238.772628650939</v>
      </c>
      <c r="AU243">
        <f t="shared" si="210"/>
        <v>-17795.378726888877</v>
      </c>
      <c r="AV243">
        <f t="shared" si="198"/>
        <v>-2.3403082976588059</v>
      </c>
      <c r="AW243">
        <f t="shared" si="199"/>
        <v>-20428.031288600952</v>
      </c>
      <c r="AX243">
        <f t="shared" si="200"/>
        <v>-3315.2865692931618</v>
      </c>
      <c r="AY243">
        <f t="shared" si="208"/>
        <v>-2.9807043338671817</v>
      </c>
      <c r="BA243">
        <f t="shared" si="184"/>
        <v>1.197180427626265</v>
      </c>
      <c r="BB243">
        <f t="shared" si="201"/>
        <v>1.5631921613016995</v>
      </c>
      <c r="BC243">
        <f t="shared" si="202"/>
        <v>0.64039603620837582</v>
      </c>
      <c r="BD243">
        <f t="shared" si="185"/>
        <v>-143.30800986642629</v>
      </c>
      <c r="BF243">
        <f t="shared" si="186"/>
        <v>-18.35173403943541</v>
      </c>
      <c r="BG243">
        <f t="shared" si="187"/>
        <v>-135.37078490819417</v>
      </c>
      <c r="BH243">
        <f t="shared" si="203"/>
        <v>44.629215091805833</v>
      </c>
      <c r="BI243">
        <f t="shared" si="204"/>
        <v>44.629215091805833</v>
      </c>
      <c r="BJ243">
        <f t="shared" si="188"/>
        <v>0</v>
      </c>
      <c r="BK243">
        <f t="shared" si="205"/>
        <v>0</v>
      </c>
      <c r="BM243">
        <f t="shared" si="206"/>
        <v>-19.91492620073711</v>
      </c>
      <c r="BN243">
        <f t="shared" si="189"/>
        <v>-172.06277504176785</v>
      </c>
      <c r="BQ243" s="56">
        <f t="shared" si="207"/>
        <v>18.465152961586838</v>
      </c>
      <c r="BR243" s="59"/>
      <c r="BS243" s="59"/>
      <c r="BT243" s="59">
        <v>21379.620999999999</v>
      </c>
      <c r="BU243" s="59">
        <v>-3.5589</v>
      </c>
      <c r="BV243" s="59">
        <v>-170.62899999999999</v>
      </c>
      <c r="BY243" s="59"/>
      <c r="BZ243" s="59"/>
      <c r="CA243" s="59"/>
      <c r="CC243" s="59"/>
    </row>
    <row r="244" spans="1:81" x14ac:dyDescent="0.2">
      <c r="A244">
        <f t="shared" si="211"/>
        <v>150000</v>
      </c>
      <c r="B244">
        <f t="shared" si="191"/>
        <v>150</v>
      </c>
      <c r="C244">
        <f t="shared" si="159"/>
        <v>1.0044315028615345</v>
      </c>
      <c r="D244">
        <f t="shared" si="160"/>
        <v>9.3970200894956807E-2</v>
      </c>
      <c r="F244">
        <f t="shared" si="161"/>
        <v>6.2626599691487971E-3</v>
      </c>
      <c r="G244">
        <f t="shared" si="162"/>
        <v>4.6067807881203696E-2</v>
      </c>
      <c r="H244">
        <f t="shared" si="163"/>
        <v>-3.0955248421187966</v>
      </c>
      <c r="J244">
        <f t="shared" si="164"/>
        <v>15</v>
      </c>
      <c r="M244">
        <f t="shared" si="165"/>
        <v>5.3184609281121606E-3</v>
      </c>
      <c r="N244">
        <f t="shared" si="166"/>
        <v>-1.5707963250000001</v>
      </c>
      <c r="O244">
        <f t="shared" si="167"/>
        <v>16.994047889718683</v>
      </c>
      <c r="P244">
        <f t="shared" si="168"/>
        <v>1.5119181823467691</v>
      </c>
      <c r="Q244">
        <f t="shared" si="169"/>
        <v>17.87814146805918</v>
      </c>
      <c r="R244">
        <f t="shared" si="170"/>
        <v>1.5148328936334357</v>
      </c>
      <c r="S244">
        <f t="shared" si="171"/>
        <v>0.99930425641674803</v>
      </c>
      <c r="T244">
        <f t="shared" si="172"/>
        <v>-3.7304805983834136E-2</v>
      </c>
      <c r="U244">
        <f t="shared" si="173"/>
        <v>0.74593152559624565</v>
      </c>
      <c r="V244">
        <f t="shared" si="174"/>
        <v>-0.72886393944471695</v>
      </c>
      <c r="X244">
        <f t="shared" si="192"/>
        <v>-18.888554066686449</v>
      </c>
      <c r="Y244">
        <f t="shared" si="175"/>
        <v>-132.45458618608413</v>
      </c>
      <c r="Z244">
        <f t="shared" si="193"/>
        <v>47.545413813915872</v>
      </c>
      <c r="AC244">
        <v>1</v>
      </c>
      <c r="AD244">
        <f t="shared" si="176"/>
        <v>16.964600310000002</v>
      </c>
      <c r="AE244">
        <f t="shared" si="177"/>
        <v>-1.598875909322512E-2</v>
      </c>
      <c r="AF244">
        <f t="shared" si="178"/>
        <v>1.7907078104999998E-2</v>
      </c>
      <c r="AG244">
        <f t="shared" si="194"/>
        <v>499.38527546975882</v>
      </c>
      <c r="AH244">
        <f t="shared" si="195"/>
        <v>-501.73181864221505</v>
      </c>
      <c r="AJ244">
        <f t="shared" si="179"/>
        <v>10500</v>
      </c>
      <c r="AK244">
        <f t="shared" si="180"/>
        <v>391.88226716100007</v>
      </c>
      <c r="AL244">
        <v>1</v>
      </c>
      <c r="AM244">
        <f t="shared" si="181"/>
        <v>17.850152446182001</v>
      </c>
      <c r="AN244">
        <f t="shared" si="196"/>
        <v>54.736009877746014</v>
      </c>
      <c r="AO244">
        <f t="shared" si="197"/>
        <v>-585.16385345249012</v>
      </c>
      <c r="AQ244">
        <f t="shared" si="182"/>
        <v>0.11110987655692714</v>
      </c>
      <c r="AR244">
        <f t="shared" si="183"/>
        <v>-33.332962967078146</v>
      </c>
      <c r="AT244">
        <f t="shared" si="209"/>
        <v>-16668.721493893932</v>
      </c>
      <c r="AU244">
        <f t="shared" si="210"/>
        <v>-16701.738253971609</v>
      </c>
      <c r="AV244">
        <f t="shared" si="198"/>
        <v>-2.3552050897000045</v>
      </c>
      <c r="AW244">
        <f t="shared" si="199"/>
        <v>-19078.172543669101</v>
      </c>
      <c r="AX244">
        <f t="shared" si="200"/>
        <v>-3136.2690508041669</v>
      </c>
      <c r="AY244">
        <f t="shared" si="208"/>
        <v>-2.978659503901949</v>
      </c>
      <c r="BA244">
        <f t="shared" si="184"/>
        <v>1.2204508406726626</v>
      </c>
      <c r="BB244">
        <f t="shared" si="201"/>
        <v>1.7304058175538071</v>
      </c>
      <c r="BC244">
        <f t="shared" si="202"/>
        <v>0.62345441420194447</v>
      </c>
      <c r="BD244">
        <f t="shared" si="185"/>
        <v>-144.27869330660994</v>
      </c>
      <c r="BF244">
        <f t="shared" si="186"/>
        <v>-18.774185846280446</v>
      </c>
      <c r="BG244">
        <f t="shared" si="187"/>
        <v>-136.25510642315169</v>
      </c>
      <c r="BH244">
        <f t="shared" si="203"/>
        <v>43.744893576848312</v>
      </c>
      <c r="BI244">
        <f t="shared" si="204"/>
        <v>43.744893576848312</v>
      </c>
      <c r="BJ244">
        <f t="shared" si="188"/>
        <v>0</v>
      </c>
      <c r="BK244">
        <f t="shared" si="205"/>
        <v>0</v>
      </c>
      <c r="BM244">
        <f t="shared" si="206"/>
        <v>-20.504591663834255</v>
      </c>
      <c r="BN244">
        <f t="shared" si="189"/>
        <v>-171.97641311654175</v>
      </c>
      <c r="BQ244" s="56">
        <f t="shared" si="207"/>
        <v>18.632366617838944</v>
      </c>
      <c r="BR244" s="59"/>
      <c r="BS244" s="59"/>
      <c r="BT244" s="59">
        <v>21877.616000000002</v>
      </c>
      <c r="BU244" s="59">
        <v>-3.49654</v>
      </c>
      <c r="BV244" s="59">
        <v>-169.465</v>
      </c>
      <c r="BY244" s="59"/>
      <c r="BZ244" s="59"/>
      <c r="CA244" s="59"/>
      <c r="CC244" s="59"/>
    </row>
    <row r="245" spans="1:81" x14ac:dyDescent="0.2">
      <c r="A245">
        <f t="shared" si="211"/>
        <v>155000</v>
      </c>
      <c r="B245">
        <f t="shared" si="191"/>
        <v>155</v>
      </c>
      <c r="C245">
        <f t="shared" si="159"/>
        <v>1.0047311529995331</v>
      </c>
      <c r="D245">
        <f t="shared" si="160"/>
        <v>9.7083209920954386E-2</v>
      </c>
      <c r="F245">
        <f t="shared" si="161"/>
        <v>5.8631538452323167E-3</v>
      </c>
      <c r="G245">
        <f t="shared" si="162"/>
        <v>4.4565685181361378E-2</v>
      </c>
      <c r="H245">
        <f t="shared" si="163"/>
        <v>-3.0970269648186388</v>
      </c>
      <c r="J245">
        <f t="shared" si="164"/>
        <v>15</v>
      </c>
      <c r="M245">
        <f t="shared" si="165"/>
        <v>5.1468976723666069E-3</v>
      </c>
      <c r="N245">
        <f t="shared" si="166"/>
        <v>-1.5707963250000001</v>
      </c>
      <c r="O245">
        <f t="shared" si="167"/>
        <v>17.558586212214998</v>
      </c>
      <c r="P245">
        <f t="shared" si="168"/>
        <v>1.5138133003405221</v>
      </c>
      <c r="Q245">
        <f t="shared" si="169"/>
        <v>18.47224502388536</v>
      </c>
      <c r="R245">
        <f t="shared" si="170"/>
        <v>1.5166345786201221</v>
      </c>
      <c r="S245">
        <f t="shared" si="171"/>
        <v>0.99925715299466233</v>
      </c>
      <c r="T245">
        <f t="shared" si="172"/>
        <v>-3.8547087927351398E-2</v>
      </c>
      <c r="U245">
        <f t="shared" si="173"/>
        <v>0.73496488003794269</v>
      </c>
      <c r="V245">
        <f t="shared" si="174"/>
        <v>-0.74518143858290953</v>
      </c>
      <c r="X245">
        <f t="shared" si="192"/>
        <v>-19.304579420458509</v>
      </c>
      <c r="Y245">
        <f t="shared" si="175"/>
        <v>-133.15657933580735</v>
      </c>
      <c r="Z245">
        <f t="shared" si="193"/>
        <v>46.843420664192649</v>
      </c>
      <c r="AC245">
        <v>1</v>
      </c>
      <c r="AD245">
        <f t="shared" si="176"/>
        <v>17.530086987000001</v>
      </c>
      <c r="AE245">
        <f t="shared" si="177"/>
        <v>-1.7072441653988156E-2</v>
      </c>
      <c r="AF245">
        <f t="shared" si="178"/>
        <v>1.8503980708499998E-2</v>
      </c>
      <c r="AG245">
        <f t="shared" si="194"/>
        <v>484.80934477589096</v>
      </c>
      <c r="AH245">
        <f t="shared" si="195"/>
        <v>-501.34505640363079</v>
      </c>
      <c r="AJ245">
        <f t="shared" si="179"/>
        <v>10500</v>
      </c>
      <c r="AK245">
        <f t="shared" si="180"/>
        <v>404.94500939970004</v>
      </c>
      <c r="AL245">
        <v>1</v>
      </c>
      <c r="AM245">
        <f t="shared" si="181"/>
        <v>18.445157527721403</v>
      </c>
      <c r="AN245">
        <f t="shared" si="196"/>
        <v>52.661252177960975</v>
      </c>
      <c r="AO245">
        <f t="shared" si="197"/>
        <v>-566.40008262985202</v>
      </c>
      <c r="AQ245">
        <f t="shared" si="182"/>
        <v>0.10405718983153141</v>
      </c>
      <c r="AR245">
        <f t="shared" si="183"/>
        <v>-32.257728847774736</v>
      </c>
      <c r="AT245">
        <f t="shared" si="209"/>
        <v>-16121.804990619208</v>
      </c>
      <c r="AU245">
        <f t="shared" si="210"/>
        <v>-15691.016944353318</v>
      </c>
      <c r="AV245">
        <f t="shared" si="198"/>
        <v>-2.3697349965695595</v>
      </c>
      <c r="AW245">
        <f t="shared" si="199"/>
        <v>-17857.045513067278</v>
      </c>
      <c r="AX245">
        <f t="shared" si="200"/>
        <v>-2975.9142891853617</v>
      </c>
      <c r="AY245">
        <f t="shared" si="208"/>
        <v>-2.9764581407558981</v>
      </c>
      <c r="BA245">
        <f t="shared" si="184"/>
        <v>1.2427072126187173</v>
      </c>
      <c r="BB245">
        <f t="shared" si="201"/>
        <v>1.8873763793953975</v>
      </c>
      <c r="BC245">
        <f t="shared" si="202"/>
        <v>0.60672314418633855</v>
      </c>
      <c r="BD245">
        <f t="shared" si="185"/>
        <v>-145.23732446549334</v>
      </c>
      <c r="BF245">
        <f t="shared" si="186"/>
        <v>-19.1871752741745</v>
      </c>
      <c r="BG245">
        <f t="shared" si="187"/>
        <v>-137.12144059416556</v>
      </c>
      <c r="BH245">
        <f t="shared" si="203"/>
        <v>42.878559405834437</v>
      </c>
      <c r="BI245">
        <f t="shared" si="204"/>
        <v>42.878559405834437</v>
      </c>
      <c r="BJ245">
        <f t="shared" si="188"/>
        <v>0</v>
      </c>
      <c r="BK245">
        <f t="shared" si="205"/>
        <v>0</v>
      </c>
      <c r="BM245">
        <f t="shared" si="206"/>
        <v>-21.074551653569898</v>
      </c>
      <c r="BN245">
        <f t="shared" si="189"/>
        <v>-171.88411612867225</v>
      </c>
      <c r="BQ245" s="56">
        <f t="shared" si="207"/>
        <v>18.789337179680533</v>
      </c>
      <c r="BR245" s="59"/>
      <c r="BS245" s="59"/>
      <c r="BT245" s="59">
        <v>22387.210999999999</v>
      </c>
      <c r="BU245" s="59">
        <v>-3.4356</v>
      </c>
      <c r="BV245" s="59">
        <v>-168.34299999999999</v>
      </c>
      <c r="BY245" s="59"/>
      <c r="BZ245" s="59"/>
      <c r="CA245" s="59"/>
      <c r="CC245" s="59"/>
    </row>
    <row r="246" spans="1:81" x14ac:dyDescent="0.2">
      <c r="A246">
        <f t="shared" si="211"/>
        <v>160000</v>
      </c>
      <c r="B246">
        <f t="shared" si="191"/>
        <v>160</v>
      </c>
      <c r="C246">
        <f t="shared" si="159"/>
        <v>1.0050405339505561</v>
      </c>
      <c r="D246">
        <f t="shared" si="160"/>
        <v>0.1001943325301041</v>
      </c>
      <c r="F246">
        <f t="shared" si="161"/>
        <v>5.5007462897740268E-3</v>
      </c>
      <c r="G246">
        <f t="shared" si="162"/>
        <v>4.3158889664126912E-2</v>
      </c>
      <c r="H246">
        <f t="shared" si="163"/>
        <v>-3.0984337603358734</v>
      </c>
      <c r="J246">
        <f t="shared" si="164"/>
        <v>15</v>
      </c>
      <c r="M246">
        <f t="shared" si="165"/>
        <v>4.9860571201051501E-3</v>
      </c>
      <c r="N246">
        <f t="shared" si="166"/>
        <v>-1.5707963250000001</v>
      </c>
      <c r="O246">
        <f t="shared" si="167"/>
        <v>18.123183667039584</v>
      </c>
      <c r="P246">
        <f t="shared" si="168"/>
        <v>1.5155903459306839</v>
      </c>
      <c r="Q246">
        <f t="shared" si="169"/>
        <v>19.066404804972883</v>
      </c>
      <c r="R246">
        <f t="shared" si="170"/>
        <v>1.518323978236773</v>
      </c>
      <c r="S246">
        <f t="shared" si="171"/>
        <v>0.99920851218939843</v>
      </c>
      <c r="T246">
        <f t="shared" si="172"/>
        <v>-3.9789250846672335E-2</v>
      </c>
      <c r="U246">
        <f t="shared" si="173"/>
        <v>0.72413154397740787</v>
      </c>
      <c r="V246">
        <f t="shared" si="174"/>
        <v>-0.76102201541245951</v>
      </c>
      <c r="X246">
        <f t="shared" si="192"/>
        <v>-19.711388138705775</v>
      </c>
      <c r="Y246">
        <f t="shared" si="175"/>
        <v>-133.83908479717763</v>
      </c>
      <c r="Z246">
        <f t="shared" si="193"/>
        <v>46.160915202822366</v>
      </c>
      <c r="AC246">
        <v>1</v>
      </c>
      <c r="AD246">
        <f t="shared" si="176"/>
        <v>18.095573664</v>
      </c>
      <c r="AE246">
        <f t="shared" si="177"/>
        <v>-1.8191654790513916E-2</v>
      </c>
      <c r="AF246">
        <f t="shared" si="178"/>
        <v>1.9100883312000001E-2</v>
      </c>
      <c r="AG246">
        <f t="shared" si="194"/>
        <v>470.62255879924044</v>
      </c>
      <c r="AH246">
        <f t="shared" si="195"/>
        <v>-500.57387242909505</v>
      </c>
      <c r="AJ246">
        <f t="shared" si="179"/>
        <v>10500</v>
      </c>
      <c r="AK246">
        <f t="shared" si="180"/>
        <v>418.00775163840007</v>
      </c>
      <c r="AL246">
        <v>1</v>
      </c>
      <c r="AM246">
        <f t="shared" si="181"/>
        <v>19.040162609260801</v>
      </c>
      <c r="AN246">
        <f t="shared" si="196"/>
        <v>50.777233432613514</v>
      </c>
      <c r="AO246">
        <f t="shared" si="197"/>
        <v>-548.7990297669553</v>
      </c>
      <c r="AQ246">
        <f t="shared" si="182"/>
        <v>9.7655296334996727E-2</v>
      </c>
      <c r="AR246">
        <f t="shared" si="183"/>
        <v>-31.249694827198955</v>
      </c>
      <c r="AT246">
        <f t="shared" si="209"/>
        <v>-15596.821966436966</v>
      </c>
      <c r="AU246">
        <f t="shared" si="210"/>
        <v>-14755.695031121379</v>
      </c>
      <c r="AV246">
        <f t="shared" si="198"/>
        <v>-2.3838993332440355</v>
      </c>
      <c r="AW246">
        <f t="shared" si="199"/>
        <v>-16748.852515664927</v>
      </c>
      <c r="AX246">
        <f t="shared" si="200"/>
        <v>-2831.5865630279495</v>
      </c>
      <c r="AY246">
        <f t="shared" si="208"/>
        <v>-2.9741147516682078</v>
      </c>
      <c r="BA246">
        <f t="shared" si="184"/>
        <v>1.2639850335851817</v>
      </c>
      <c r="BB246">
        <f t="shared" si="201"/>
        <v>2.0348386328853865</v>
      </c>
      <c r="BC246">
        <f t="shared" si="202"/>
        <v>0.59021541842417236</v>
      </c>
      <c r="BD246">
        <f t="shared" si="185"/>
        <v>-146.1831474821056</v>
      </c>
      <c r="BF246">
        <f t="shared" si="186"/>
        <v>-19.591232346079465</v>
      </c>
      <c r="BG246">
        <f t="shared" si="187"/>
        <v>-137.96961286138972</v>
      </c>
      <c r="BH246">
        <f t="shared" si="203"/>
        <v>42.03038713861028</v>
      </c>
      <c r="BI246">
        <f t="shared" si="204"/>
        <v>42.03038713861028</v>
      </c>
      <c r="BJ246">
        <f t="shared" si="188"/>
        <v>0</v>
      </c>
      <c r="BK246">
        <f t="shared" si="205"/>
        <v>0</v>
      </c>
      <c r="BM246">
        <f t="shared" si="206"/>
        <v>-21.626070978964847</v>
      </c>
      <c r="BN246">
        <f t="shared" si="189"/>
        <v>-171.78646537928412</v>
      </c>
      <c r="BQ246" s="56">
        <f t="shared" si="207"/>
        <v>18.936799433170521</v>
      </c>
      <c r="BR246" s="59"/>
      <c r="BS246" s="59"/>
      <c r="BT246" s="59">
        <v>22908.677</v>
      </c>
      <c r="BU246" s="59">
        <v>-3.37297</v>
      </c>
      <c r="BV246" s="59">
        <v>-167.03899999999999</v>
      </c>
      <c r="BY246" s="59"/>
      <c r="BZ246" s="59"/>
      <c r="CA246" s="59"/>
      <c r="CC246" s="59"/>
    </row>
    <row r="247" spans="1:81" x14ac:dyDescent="0.2">
      <c r="A247">
        <f t="shared" si="211"/>
        <v>165000</v>
      </c>
      <c r="B247">
        <f t="shared" si="191"/>
        <v>165</v>
      </c>
      <c r="C247">
        <f t="shared" si="159"/>
        <v>1.0053596367311668</v>
      </c>
      <c r="D247">
        <f t="shared" si="160"/>
        <v>0.10330351026681402</v>
      </c>
      <c r="F247">
        <f t="shared" si="161"/>
        <v>5.1709759876209533E-3</v>
      </c>
      <c r="G247">
        <f t="shared" si="162"/>
        <v>4.1838586861102964E-2</v>
      </c>
      <c r="H247">
        <f t="shared" si="163"/>
        <v>-3.0997540631388971</v>
      </c>
      <c r="J247">
        <f t="shared" si="164"/>
        <v>15</v>
      </c>
      <c r="M247">
        <f t="shared" si="165"/>
        <v>4.8349644801019631E-3</v>
      </c>
      <c r="N247">
        <f t="shared" si="166"/>
        <v>-1.5707963250000001</v>
      </c>
      <c r="O247">
        <f t="shared" si="167"/>
        <v>18.687834894669926</v>
      </c>
      <c r="P247">
        <f t="shared" si="168"/>
        <v>1.5172600099901654</v>
      </c>
      <c r="Q247">
        <f t="shared" si="169"/>
        <v>19.660615713803168</v>
      </c>
      <c r="R247">
        <f t="shared" si="170"/>
        <v>1.5199112633134977</v>
      </c>
      <c r="S247">
        <f t="shared" si="171"/>
        <v>0.99915833467572313</v>
      </c>
      <c r="T247">
        <f t="shared" si="172"/>
        <v>-4.1031290926227461E-2</v>
      </c>
      <c r="U247">
        <f t="shared" si="173"/>
        <v>0.7134416645212377</v>
      </c>
      <c r="V247">
        <f t="shared" si="174"/>
        <v>-0.77639866881235764</v>
      </c>
      <c r="X247">
        <f t="shared" si="192"/>
        <v>-20.10945200106714</v>
      </c>
      <c r="Y247">
        <f t="shared" si="175"/>
        <v>-134.5021613719592</v>
      </c>
      <c r="Z247">
        <f t="shared" si="193"/>
        <v>45.497838628040796</v>
      </c>
      <c r="AC247">
        <v>1</v>
      </c>
      <c r="AD247">
        <f t="shared" si="176"/>
        <v>18.661060341000002</v>
      </c>
      <c r="AE247">
        <f t="shared" si="177"/>
        <v>-1.9346398502802398E-2</v>
      </c>
      <c r="AF247">
        <f t="shared" si="178"/>
        <v>1.9697785915500001E-2</v>
      </c>
      <c r="AG247">
        <f t="shared" si="194"/>
        <v>456.83013520954643</v>
      </c>
      <c r="AH247">
        <f t="shared" si="195"/>
        <v>-499.44790171120411</v>
      </c>
      <c r="AJ247">
        <f t="shared" si="179"/>
        <v>10500</v>
      </c>
      <c r="AK247">
        <f t="shared" si="180"/>
        <v>431.07049387710003</v>
      </c>
      <c r="AL247">
        <v>1</v>
      </c>
      <c r="AM247">
        <f t="shared" si="181"/>
        <v>19.635167690800202</v>
      </c>
      <c r="AN247">
        <f t="shared" si="196"/>
        <v>49.06128924151821</v>
      </c>
      <c r="AO247">
        <f t="shared" si="197"/>
        <v>-532.25614750696172</v>
      </c>
      <c r="AQ247">
        <f t="shared" si="182"/>
        <v>9.1826521335892239E-2</v>
      </c>
      <c r="AR247">
        <f t="shared" si="183"/>
        <v>-30.302752040844435</v>
      </c>
      <c r="AT247">
        <f t="shared" si="209"/>
        <v>-15092.696800716963</v>
      </c>
      <c r="AU247">
        <f t="shared" si="210"/>
        <v>-13889.072875442973</v>
      </c>
      <c r="AV247">
        <f t="shared" si="198"/>
        <v>-2.3977010186571226</v>
      </c>
      <c r="AW247">
        <f t="shared" si="199"/>
        <v>-15740.140278467956</v>
      </c>
      <c r="AX247">
        <f t="shared" si="200"/>
        <v>-2701.098465292569</v>
      </c>
      <c r="AY247">
        <f t="shared" si="208"/>
        <v>-2.9716422712911248</v>
      </c>
      <c r="BA247">
        <f t="shared" si="184"/>
        <v>1.2843198419973778</v>
      </c>
      <c r="BB247">
        <f t="shared" si="201"/>
        <v>2.1734638440780332</v>
      </c>
      <c r="BC247">
        <f t="shared" si="202"/>
        <v>0.5739412526340022</v>
      </c>
      <c r="BD247">
        <f t="shared" si="185"/>
        <v>-147.11558849804402</v>
      </c>
      <c r="BF247">
        <f t="shared" si="186"/>
        <v>-19.986831650835764</v>
      </c>
      <c r="BG247">
        <f t="shared" si="187"/>
        <v>-138.79955889343404</v>
      </c>
      <c r="BH247">
        <f t="shared" si="203"/>
        <v>41.200441106565961</v>
      </c>
      <c r="BI247">
        <f t="shared" si="204"/>
        <v>41.200441106565961</v>
      </c>
      <c r="BJ247">
        <f t="shared" si="188"/>
        <v>0</v>
      </c>
      <c r="BK247">
        <f t="shared" si="205"/>
        <v>0</v>
      </c>
      <c r="BM247">
        <f t="shared" si="206"/>
        <v>-22.160295494913797</v>
      </c>
      <c r="BN247">
        <f t="shared" si="189"/>
        <v>-171.68397039539002</v>
      </c>
      <c r="BQ247" s="56">
        <f t="shared" si="207"/>
        <v>19.075424644363167</v>
      </c>
      <c r="BR247" s="59"/>
      <c r="BS247" s="59"/>
      <c r="BT247" s="59">
        <v>23442.288</v>
      </c>
      <c r="BU247" s="59">
        <v>-3.29522</v>
      </c>
      <c r="BV247" s="59">
        <v>-165.876</v>
      </c>
      <c r="BY247" s="59"/>
      <c r="BZ247" s="59"/>
      <c r="CA247" s="59"/>
      <c r="CC247" s="59"/>
    </row>
    <row r="248" spans="1:81" x14ac:dyDescent="0.2">
      <c r="A248">
        <f t="shared" si="211"/>
        <v>170000</v>
      </c>
      <c r="B248">
        <f t="shared" si="191"/>
        <v>170</v>
      </c>
      <c r="C248">
        <f t="shared" si="159"/>
        <v>1.0056884520872185</v>
      </c>
      <c r="D248">
        <f t="shared" si="160"/>
        <v>0.10641068489895746</v>
      </c>
      <c r="F248">
        <f t="shared" si="161"/>
        <v>4.8700334745181142E-3</v>
      </c>
      <c r="G248">
        <f t="shared" si="162"/>
        <v>4.0597005515231488E-2</v>
      </c>
      <c r="H248">
        <f t="shared" si="163"/>
        <v>-3.1009956444847688</v>
      </c>
      <c r="J248">
        <f t="shared" si="164"/>
        <v>15</v>
      </c>
      <c r="M248">
        <f t="shared" si="165"/>
        <v>4.6927596424519063E-3</v>
      </c>
      <c r="N248">
        <f t="shared" si="166"/>
        <v>-1.5707963250000001</v>
      </c>
      <c r="O248">
        <f t="shared" si="167"/>
        <v>19.25253516385218</v>
      </c>
      <c r="P248">
        <f t="shared" si="168"/>
        <v>1.518831731664928</v>
      </c>
      <c r="Q248">
        <f t="shared" si="169"/>
        <v>20.254873250620712</v>
      </c>
      <c r="R248">
        <f t="shared" si="170"/>
        <v>1.5214054132887502</v>
      </c>
      <c r="S248">
        <f t="shared" si="171"/>
        <v>0.99910662114953774</v>
      </c>
      <c r="T248">
        <f t="shared" si="172"/>
        <v>-4.2273204352717905E-2</v>
      </c>
      <c r="U248">
        <f t="shared" si="173"/>
        <v>0.70290381738713681</v>
      </c>
      <c r="V248">
        <f t="shared" si="174"/>
        <v>-0.79132452566195122</v>
      </c>
      <c r="X248">
        <f t="shared" si="192"/>
        <v>-20.499196527548015</v>
      </c>
      <c r="Y248">
        <f t="shared" si="175"/>
        <v>-135.14595424598548</v>
      </c>
      <c r="Z248">
        <f t="shared" si="193"/>
        <v>44.854045754014521</v>
      </c>
      <c r="AC248">
        <v>1</v>
      </c>
      <c r="AD248">
        <f t="shared" si="176"/>
        <v>19.226547018000002</v>
      </c>
      <c r="AE248">
        <f t="shared" si="177"/>
        <v>-2.0536672790853604E-2</v>
      </c>
      <c r="AF248">
        <f t="shared" si="178"/>
        <v>2.0294688519000001E-2</v>
      </c>
      <c r="AG248">
        <f t="shared" si="194"/>
        <v>443.43463596997378</v>
      </c>
      <c r="AH248">
        <f t="shared" si="195"/>
        <v>-497.99591718713543</v>
      </c>
      <c r="AJ248">
        <f t="shared" si="179"/>
        <v>10500</v>
      </c>
      <c r="AK248">
        <f t="shared" si="180"/>
        <v>444.13323611580006</v>
      </c>
      <c r="AL248">
        <v>1</v>
      </c>
      <c r="AM248">
        <f t="shared" si="181"/>
        <v>20.2301727723396</v>
      </c>
      <c r="AN248">
        <f t="shared" si="196"/>
        <v>47.494021610605344</v>
      </c>
      <c r="AO248">
        <f t="shared" si="197"/>
        <v>-516.6790267199766</v>
      </c>
      <c r="AQ248">
        <f t="shared" si="182"/>
        <v>8.6504442003096857E-2</v>
      </c>
      <c r="AR248">
        <f t="shared" si="183"/>
        <v>-29.411510281052934</v>
      </c>
      <c r="AT248">
        <f t="shared" si="209"/>
        <v>-14608.452972522389</v>
      </c>
      <c r="AU248">
        <f t="shared" si="210"/>
        <v>-13085.161213741942</v>
      </c>
      <c r="AV248">
        <f t="shared" si="198"/>
        <v>-2.4111442795970852</v>
      </c>
      <c r="AW248">
        <f t="shared" si="199"/>
        <v>-14819.395180770091</v>
      </c>
      <c r="AX248">
        <f t="shared" si="200"/>
        <v>-2582.6234821869821</v>
      </c>
      <c r="AY248">
        <f t="shared" si="208"/>
        <v>-2.9690522731557643</v>
      </c>
      <c r="BA248">
        <f t="shared" si="184"/>
        <v>1.3037469855107437</v>
      </c>
      <c r="BB248">
        <f t="shared" si="201"/>
        <v>2.3038663454309476</v>
      </c>
      <c r="BC248">
        <f t="shared" si="202"/>
        <v>0.55790799355867904</v>
      </c>
      <c r="BD248">
        <f t="shared" si="185"/>
        <v>-148.03422657594956</v>
      </c>
      <c r="BF248">
        <f t="shared" si="186"/>
        <v>-20.374400279293447</v>
      </c>
      <c r="BG248">
        <f t="shared" si="187"/>
        <v>-139.61130634962612</v>
      </c>
      <c r="BH248">
        <f t="shared" si="203"/>
        <v>40.388693650373881</v>
      </c>
      <c r="BI248">
        <f t="shared" si="204"/>
        <v>40.388693650373881</v>
      </c>
      <c r="BJ248">
        <f t="shared" si="188"/>
        <v>0</v>
      </c>
      <c r="BK248">
        <f t="shared" si="205"/>
        <v>0</v>
      </c>
      <c r="BM248">
        <f t="shared" si="206"/>
        <v>-22.678266624724394</v>
      </c>
      <c r="BN248">
        <f t="shared" si="189"/>
        <v>-171.57707977367659</v>
      </c>
      <c r="BQ248" s="56">
        <f t="shared" si="207"/>
        <v>19.205827145716086</v>
      </c>
      <c r="BR248" s="59"/>
      <c r="BS248" s="59"/>
      <c r="BT248" s="59">
        <v>23988.329000000002</v>
      </c>
      <c r="BU248" s="59">
        <v>-3.2437399999999998</v>
      </c>
      <c r="BV248" s="59">
        <v>-164.703</v>
      </c>
      <c r="BY248" s="59"/>
      <c r="BZ248" s="59"/>
      <c r="CA248" s="59"/>
      <c r="CC248" s="59"/>
    </row>
    <row r="249" spans="1:81" x14ac:dyDescent="0.2">
      <c r="A249">
        <f t="shared" si="211"/>
        <v>175000</v>
      </c>
      <c r="B249">
        <f t="shared" si="191"/>
        <v>175</v>
      </c>
      <c r="C249">
        <f t="shared" si="159"/>
        <v>1.0060269704951772</v>
      </c>
      <c r="D249">
        <f t="shared" si="160"/>
        <v>0.10951579842412278</v>
      </c>
      <c r="F249">
        <f t="shared" si="161"/>
        <v>4.5946499631050932E-3</v>
      </c>
      <c r="G249">
        <f t="shared" si="162"/>
        <v>3.9427281742562305E-2</v>
      </c>
      <c r="H249">
        <f t="shared" si="163"/>
        <v>-3.1021653682574377</v>
      </c>
      <c r="J249">
        <f t="shared" si="164"/>
        <v>15</v>
      </c>
      <c r="M249">
        <f t="shared" si="165"/>
        <v>4.5586807955247085E-3</v>
      </c>
      <c r="N249">
        <f t="shared" si="166"/>
        <v>-1.5707963250000001</v>
      </c>
      <c r="O249">
        <f t="shared" si="167"/>
        <v>19.817280282218729</v>
      </c>
      <c r="P249">
        <f t="shared" si="168"/>
        <v>1.5203138762075137</v>
      </c>
      <c r="Q249">
        <f t="shared" si="169"/>
        <v>20.849173428356636</v>
      </c>
      <c r="R249">
        <f t="shared" si="170"/>
        <v>1.5228143855615592</v>
      </c>
      <c r="S249">
        <f t="shared" si="171"/>
        <v>0.99905337232785052</v>
      </c>
      <c r="T249">
        <f t="shared" si="172"/>
        <v>-4.3514987315185195E-2</v>
      </c>
      <c r="U249">
        <f t="shared" si="173"/>
        <v>0.69252514487808658</v>
      </c>
      <c r="V249">
        <f t="shared" si="174"/>
        <v>-0.8058127585688365</v>
      </c>
      <c r="X249">
        <f t="shared" si="192"/>
        <v>-20.881007443324485</v>
      </c>
      <c r="Y249">
        <f t="shared" si="175"/>
        <v>-135.77067931155474</v>
      </c>
      <c r="Z249">
        <f t="shared" si="193"/>
        <v>44.229320688445256</v>
      </c>
      <c r="AC249">
        <v>1</v>
      </c>
      <c r="AD249">
        <f t="shared" si="176"/>
        <v>19.792033695000001</v>
      </c>
      <c r="AE249">
        <f t="shared" si="177"/>
        <v>-2.176247765466752E-2</v>
      </c>
      <c r="AF249">
        <f t="shared" si="178"/>
        <v>2.0891591122500001E-2</v>
      </c>
      <c r="AG249">
        <f t="shared" si="194"/>
        <v>430.4363122366936</v>
      </c>
      <c r="AH249">
        <f t="shared" si="195"/>
        <v>-496.2456217919663</v>
      </c>
      <c r="AJ249">
        <f t="shared" si="179"/>
        <v>10500</v>
      </c>
      <c r="AK249">
        <f t="shared" si="180"/>
        <v>457.19597835450003</v>
      </c>
      <c r="AL249">
        <v>1</v>
      </c>
      <c r="AM249">
        <f t="shared" si="181"/>
        <v>20.825177853879001</v>
      </c>
      <c r="AN249">
        <f t="shared" si="196"/>
        <v>46.058750321358957</v>
      </c>
      <c r="AO249">
        <f t="shared" si="197"/>
        <v>-501.9856888152068</v>
      </c>
      <c r="AQ249">
        <f t="shared" si="182"/>
        <v>8.1631986677659779E-2</v>
      </c>
      <c r="AR249">
        <f t="shared" si="183"/>
        <v>-28.571195337180921</v>
      </c>
      <c r="AT249">
        <f t="shared" si="209"/>
        <v>-14143.193224132987</v>
      </c>
      <c r="AU249">
        <f t="shared" si="210"/>
        <v>-12338.589473117339</v>
      </c>
      <c r="AV249">
        <f t="shared" si="198"/>
        <v>-2.4242344008684733</v>
      </c>
      <c r="AW249">
        <f t="shared" si="199"/>
        <v>-13976.717662579022</v>
      </c>
      <c r="AX249">
        <f t="shared" si="200"/>
        <v>-2474.6276130276019</v>
      </c>
      <c r="AY249">
        <f t="shared" si="208"/>
        <v>-2.9663551462412903</v>
      </c>
      <c r="BA249">
        <f t="shared" si="184"/>
        <v>1.3223014199188861</v>
      </c>
      <c r="BB249">
        <f t="shared" si="201"/>
        <v>2.4266092858428228</v>
      </c>
      <c r="BC249">
        <f t="shared" si="202"/>
        <v>0.54212074537281696</v>
      </c>
      <c r="BD249">
        <f t="shared" si="185"/>
        <v>-148.93876926815861</v>
      </c>
      <c r="BF249">
        <f t="shared" si="186"/>
        <v>-20.754324438758609</v>
      </c>
      <c r="BG249">
        <f t="shared" si="187"/>
        <v>-140.40495937717756</v>
      </c>
      <c r="BH249">
        <f t="shared" si="203"/>
        <v>39.595040622822438</v>
      </c>
      <c r="BI249">
        <f t="shared" si="204"/>
        <v>39.595040622822438</v>
      </c>
      <c r="BJ249">
        <f t="shared" si="188"/>
        <v>0</v>
      </c>
      <c r="BK249">
        <f t="shared" si="205"/>
        <v>0</v>
      </c>
      <c r="BM249">
        <f t="shared" si="206"/>
        <v>-23.180933724601431</v>
      </c>
      <c r="BN249">
        <f t="shared" si="189"/>
        <v>-171.46619010901895</v>
      </c>
      <c r="BQ249" s="56">
        <f t="shared" si="207"/>
        <v>19.328570086127957</v>
      </c>
      <c r="BR249" s="59"/>
      <c r="BS249" s="59"/>
      <c r="BT249" s="59">
        <v>24547.089</v>
      </c>
      <c r="BU249" s="59">
        <v>-3.1709299999999998</v>
      </c>
      <c r="BV249" s="59">
        <v>-163.65100000000001</v>
      </c>
      <c r="BY249" s="59"/>
      <c r="BZ249" s="59"/>
      <c r="CA249" s="59"/>
      <c r="CC249" s="59"/>
    </row>
    <row r="250" spans="1:81" x14ac:dyDescent="0.2">
      <c r="A250">
        <f t="shared" si="211"/>
        <v>180000</v>
      </c>
      <c r="B250">
        <f t="shared" si="191"/>
        <v>180</v>
      </c>
      <c r="C250">
        <f t="shared" si="159"/>
        <v>1.0063751821634812</v>
      </c>
      <c r="D250">
        <f t="shared" si="160"/>
        <v>0.11261879307579839</v>
      </c>
      <c r="F250">
        <f t="shared" si="161"/>
        <v>4.3420077014920417E-3</v>
      </c>
      <c r="G250">
        <f t="shared" si="162"/>
        <v>3.8323329910510941E-2</v>
      </c>
      <c r="H250">
        <f t="shared" si="163"/>
        <v>-3.1032693200894892</v>
      </c>
      <c r="J250">
        <f t="shared" si="164"/>
        <v>15</v>
      </c>
      <c r="M250">
        <f t="shared" si="165"/>
        <v>4.4320507734267999E-3</v>
      </c>
      <c r="N250">
        <f t="shared" si="166"/>
        <v>-1.5707963250000001</v>
      </c>
      <c r="O250">
        <f t="shared" si="167"/>
        <v>20.382066521734124</v>
      </c>
      <c r="P250">
        <f t="shared" si="168"/>
        <v>1.5217138833543726</v>
      </c>
      <c r="Q250">
        <f t="shared" si="169"/>
        <v>21.443512701672493</v>
      </c>
      <c r="R250">
        <f t="shared" si="170"/>
        <v>1.524145256775554</v>
      </c>
      <c r="S250">
        <f t="shared" si="171"/>
        <v>0.99899858894875038</v>
      </c>
      <c r="T250">
        <f t="shared" si="172"/>
        <v>-4.4756636005080938E-2</v>
      </c>
      <c r="U250">
        <f t="shared" si="173"/>
        <v>0.6823114879390183</v>
      </c>
      <c r="V250">
        <f t="shared" si="174"/>
        <v>-0.81987651457556121</v>
      </c>
      <c r="X250">
        <f t="shared" si="192"/>
        <v>-21.255236077049382</v>
      </c>
      <c r="Y250">
        <f t="shared" si="175"/>
        <v>-136.37660988403223</v>
      </c>
      <c r="Z250">
        <f t="shared" si="193"/>
        <v>43.623390115967766</v>
      </c>
      <c r="AC250">
        <v>1</v>
      </c>
      <c r="AD250">
        <f t="shared" si="176"/>
        <v>20.357520372000003</v>
      </c>
      <c r="AE250">
        <f t="shared" si="177"/>
        <v>-2.3023813094244176E-2</v>
      </c>
      <c r="AF250">
        <f t="shared" si="178"/>
        <v>2.1488493726000001E-2</v>
      </c>
      <c r="AG250">
        <f t="shared" si="194"/>
        <v>417.83342152308165</v>
      </c>
      <c r="AH250">
        <f t="shared" si="195"/>
        <v>-494.22350105564459</v>
      </c>
      <c r="AJ250">
        <f t="shared" si="179"/>
        <v>10500</v>
      </c>
      <c r="AK250">
        <f t="shared" si="180"/>
        <v>470.25872059320011</v>
      </c>
      <c r="AL250">
        <v>1</v>
      </c>
      <c r="AM250">
        <f t="shared" si="181"/>
        <v>21.420182935418403</v>
      </c>
      <c r="AN250">
        <f t="shared" si="196"/>
        <v>44.741068798148625</v>
      </c>
      <c r="AO250">
        <f t="shared" si="197"/>
        <v>-488.10315778928373</v>
      </c>
      <c r="AQ250">
        <f t="shared" si="182"/>
        <v>7.7159898457573636E-2</v>
      </c>
      <c r="AR250">
        <f t="shared" si="183"/>
        <v>-27.777563444726507</v>
      </c>
      <c r="AT250">
        <f t="shared" si="209"/>
        <v>-13696.084672071123</v>
      </c>
      <c r="AU250">
        <f t="shared" si="210"/>
        <v>-11644.528610841355</v>
      </c>
      <c r="AV250">
        <f t="shared" si="198"/>
        <v>-2.4369775141776611</v>
      </c>
      <c r="AW250">
        <f t="shared" si="199"/>
        <v>-13203.558595246808</v>
      </c>
      <c r="AX250">
        <f t="shared" si="200"/>
        <v>-2375.8154761310725</v>
      </c>
      <c r="AY250">
        <f t="shared" si="208"/>
        <v>-2.9635602434622581</v>
      </c>
      <c r="BA250">
        <f t="shared" si="184"/>
        <v>1.3400175421446248</v>
      </c>
      <c r="BB250">
        <f t="shared" si="201"/>
        <v>2.5422096748595036</v>
      </c>
      <c r="BC250">
        <f t="shared" si="202"/>
        <v>0.52658272928459704</v>
      </c>
      <c r="BD250">
        <f t="shared" si="185"/>
        <v>-149.82903201303725</v>
      </c>
      <c r="BF250">
        <f t="shared" si="186"/>
        <v>-21.126954990100444</v>
      </c>
      <c r="BG250">
        <f t="shared" si="187"/>
        <v>-141.18068540529495</v>
      </c>
      <c r="BH250">
        <f t="shared" si="203"/>
        <v>38.819314594705048</v>
      </c>
      <c r="BI250">
        <f t="shared" si="204"/>
        <v>38.819314594705048</v>
      </c>
      <c r="BJ250">
        <f t="shared" si="188"/>
        <v>0</v>
      </c>
      <c r="BK250">
        <f t="shared" si="205"/>
        <v>0</v>
      </c>
      <c r="BM250">
        <f t="shared" si="206"/>
        <v>-23.669164664959943</v>
      </c>
      <c r="BN250">
        <f t="shared" si="189"/>
        <v>-171.3516533922577</v>
      </c>
      <c r="BQ250" s="56">
        <f t="shared" si="207"/>
        <v>19.444170475144638</v>
      </c>
      <c r="BR250" s="59"/>
      <c r="BS250" s="59"/>
      <c r="BT250" s="59">
        <v>25118.864000000001</v>
      </c>
      <c r="BU250" s="59">
        <v>-3.1069800000000001</v>
      </c>
      <c r="BV250" s="59">
        <v>-162.52199999999999</v>
      </c>
      <c r="BY250" s="59"/>
      <c r="BZ250" s="59"/>
      <c r="CA250" s="59"/>
      <c r="CC250" s="59"/>
    </row>
    <row r="251" spans="1:81" x14ac:dyDescent="0.2">
      <c r="A251">
        <f t="shared" si="211"/>
        <v>185000</v>
      </c>
      <c r="B251">
        <f t="shared" si="191"/>
        <v>185</v>
      </c>
      <c r="C251">
        <f t="shared" si="159"/>
        <v>1.0067330770339342</v>
      </c>
      <c r="D251">
        <f t="shared" si="160"/>
        <v>0.11571961132949113</v>
      </c>
      <c r="F251">
        <f t="shared" si="161"/>
        <v>4.1096672218315063E-3</v>
      </c>
      <c r="G251">
        <f t="shared" si="162"/>
        <v>3.7279735022288985E-2</v>
      </c>
      <c r="H251">
        <f t="shared" si="163"/>
        <v>-3.1043129149777111</v>
      </c>
      <c r="J251">
        <f t="shared" si="164"/>
        <v>15</v>
      </c>
      <c r="M251">
        <f t="shared" si="165"/>
        <v>4.3122656173882378E-3</v>
      </c>
      <c r="N251">
        <f t="shared" si="166"/>
        <v>-1.5707963250000001</v>
      </c>
      <c r="O251">
        <f t="shared" si="167"/>
        <v>20.946890556178108</v>
      </c>
      <c r="P251">
        <f t="shared" si="168"/>
        <v>1.5230383917820485</v>
      </c>
      <c r="Q251">
        <f t="shared" si="169"/>
        <v>22.037887907465233</v>
      </c>
      <c r="R251">
        <f t="shared" si="170"/>
        <v>1.5254043413125145</v>
      </c>
      <c r="S251">
        <f t="shared" si="171"/>
        <v>0.99894227177137762</v>
      </c>
      <c r="T251">
        <f t="shared" si="172"/>
        <v>-4.5998146616336354E-2</v>
      </c>
      <c r="U251">
        <f t="shared" si="173"/>
        <v>0.6722675114178337</v>
      </c>
      <c r="V251">
        <f t="shared" si="174"/>
        <v>-0.83352885392132736</v>
      </c>
      <c r="X251">
        <f t="shared" si="192"/>
        <v>-21.622203887470537</v>
      </c>
      <c r="Y251">
        <f t="shared" si="175"/>
        <v>-136.96406543873147</v>
      </c>
      <c r="Z251">
        <f t="shared" si="193"/>
        <v>43.035934561268533</v>
      </c>
      <c r="AC251">
        <v>1</v>
      </c>
      <c r="AD251">
        <f t="shared" si="176"/>
        <v>20.923007049000002</v>
      </c>
      <c r="AE251">
        <f t="shared" si="177"/>
        <v>-2.4320679109583545E-2</v>
      </c>
      <c r="AF251">
        <f t="shared" si="178"/>
        <v>2.2085396329499997E-2</v>
      </c>
      <c r="AG251">
        <f t="shared" si="194"/>
        <v>405.62251700323645</v>
      </c>
      <c r="AH251">
        <f t="shared" si="195"/>
        <v>-491.9547249031998</v>
      </c>
      <c r="AJ251">
        <f t="shared" si="179"/>
        <v>10500</v>
      </c>
      <c r="AK251">
        <f t="shared" si="180"/>
        <v>483.32146283190002</v>
      </c>
      <c r="AL251">
        <v>1</v>
      </c>
      <c r="AM251">
        <f t="shared" si="181"/>
        <v>22.015188016957801</v>
      </c>
      <c r="AN251">
        <f t="shared" si="196"/>
        <v>43.528482345305065</v>
      </c>
      <c r="AO251">
        <f t="shared" si="197"/>
        <v>-474.96626009281914</v>
      </c>
      <c r="AQ251">
        <f t="shared" si="182"/>
        <v>7.3045485423773385E-2</v>
      </c>
      <c r="AR251">
        <f t="shared" si="183"/>
        <v>-27.026829606796152</v>
      </c>
      <c r="AT251">
        <f t="shared" si="209"/>
        <v>-13266.347630563741</v>
      </c>
      <c r="AU251">
        <f t="shared" si="210"/>
        <v>-10998.625723413321</v>
      </c>
      <c r="AV251">
        <f t="shared" si="198"/>
        <v>-2.449380419607063</v>
      </c>
      <c r="AW251">
        <f t="shared" si="199"/>
        <v>-12492.504503660646</v>
      </c>
      <c r="AX251">
        <f t="shared" si="200"/>
        <v>-2285.0875276474585</v>
      </c>
      <c r="AY251">
        <f t="shared" si="208"/>
        <v>-2.9606760073854868</v>
      </c>
      <c r="BA251">
        <f t="shared" si="184"/>
        <v>1.3569290535956726</v>
      </c>
      <c r="BB251">
        <f t="shared" si="201"/>
        <v>2.6511428273674436</v>
      </c>
      <c r="BC251">
        <f t="shared" si="202"/>
        <v>0.51129558777842377</v>
      </c>
      <c r="BD251">
        <f t="shared" si="185"/>
        <v>-150.70492070316109</v>
      </c>
      <c r="BF251">
        <f t="shared" si="186"/>
        <v>-21.492612102040859</v>
      </c>
      <c r="BG251">
        <f t="shared" si="187"/>
        <v>-141.93870387892693</v>
      </c>
      <c r="BH251">
        <f t="shared" si="203"/>
        <v>38.06129612107307</v>
      </c>
      <c r="BI251">
        <f t="shared" si="204"/>
        <v>38.06129612107307</v>
      </c>
      <c r="BJ251">
        <f t="shared" si="188"/>
        <v>0</v>
      </c>
      <c r="BK251">
        <f t="shared" si="205"/>
        <v>0</v>
      </c>
      <c r="BM251">
        <f t="shared" si="206"/>
        <v>-24.143754929408306</v>
      </c>
      <c r="BN251">
        <f t="shared" si="189"/>
        <v>-171.23378317576584</v>
      </c>
      <c r="BQ251" s="56">
        <f t="shared" si="207"/>
        <v>19.553103627652579</v>
      </c>
      <c r="BR251" s="59"/>
      <c r="BS251" s="59"/>
      <c r="BT251" s="59">
        <v>25703.957999999999</v>
      </c>
      <c r="BU251" s="59">
        <v>-3.0172699999999999</v>
      </c>
      <c r="BV251" s="59">
        <v>-161.32599999999999</v>
      </c>
      <c r="BY251" s="59"/>
      <c r="BZ251" s="59"/>
      <c r="CA251" s="59"/>
      <c r="CC251" s="59"/>
    </row>
    <row r="252" spans="1:81" x14ac:dyDescent="0.2">
      <c r="A252">
        <f t="shared" si="211"/>
        <v>190000</v>
      </c>
      <c r="B252">
        <f t="shared" si="191"/>
        <v>190</v>
      </c>
      <c r="C252">
        <f t="shared" si="159"/>
        <v>1.0071006447831334</v>
      </c>
      <c r="D252">
        <f t="shared" si="160"/>
        <v>0.11881819590877697</v>
      </c>
      <c r="F252">
        <f t="shared" si="161"/>
        <v>3.8955079338643902E-3</v>
      </c>
      <c r="G252">
        <f t="shared" si="162"/>
        <v>3.6291662529945361E-2</v>
      </c>
      <c r="H252">
        <f t="shared" si="163"/>
        <v>-3.1053009874700548</v>
      </c>
      <c r="J252">
        <f t="shared" si="164"/>
        <v>15</v>
      </c>
      <c r="M252">
        <f t="shared" si="165"/>
        <v>4.1987849432464424E-3</v>
      </c>
      <c r="N252">
        <f t="shared" si="166"/>
        <v>-1.5707963250000001</v>
      </c>
      <c r="O252">
        <f t="shared" si="167"/>
        <v>21.511749408459121</v>
      </c>
      <c r="P252">
        <f t="shared" si="168"/>
        <v>1.5242933440205493</v>
      </c>
      <c r="Q252">
        <f t="shared" si="169"/>
        <v>22.63229621473107</v>
      </c>
      <c r="R252">
        <f t="shared" si="170"/>
        <v>1.5265972911694317</v>
      </c>
      <c r="S252">
        <f t="shared" si="171"/>
        <v>0.99888442157589441</v>
      </c>
      <c r="T252">
        <f t="shared" si="172"/>
        <v>-4.7239515345431721E-2</v>
      </c>
      <c r="U252">
        <f t="shared" si="173"/>
        <v>0.66239682195833449</v>
      </c>
      <c r="V252">
        <f t="shared" si="174"/>
        <v>-0.84678269794170058</v>
      </c>
      <c r="X252">
        <f t="shared" si="192"/>
        <v>-21.982206274268389</v>
      </c>
      <c r="Y252">
        <f t="shared" si="175"/>
        <v>-137.53340205914898</v>
      </c>
      <c r="Z252">
        <f t="shared" si="193"/>
        <v>42.466597940851017</v>
      </c>
      <c r="AC252">
        <v>1</v>
      </c>
      <c r="AD252">
        <f t="shared" si="176"/>
        <v>21.488493726000002</v>
      </c>
      <c r="AE252">
        <f t="shared" si="177"/>
        <v>-2.5653075700685642E-2</v>
      </c>
      <c r="AF252">
        <f t="shared" si="178"/>
        <v>2.2682298932999997E-2</v>
      </c>
      <c r="AG252">
        <f t="shared" si="194"/>
        <v>393.79870946238884</v>
      </c>
      <c r="AH252">
        <f t="shared" si="195"/>
        <v>-489.46308914563741</v>
      </c>
      <c r="AJ252">
        <f t="shared" si="179"/>
        <v>10500</v>
      </c>
      <c r="AK252">
        <f t="shared" si="180"/>
        <v>496.3842050706001</v>
      </c>
      <c r="AL252">
        <v>1</v>
      </c>
      <c r="AM252">
        <f t="shared" si="181"/>
        <v>22.610193098497202</v>
      </c>
      <c r="AN252">
        <f t="shared" si="196"/>
        <v>42.410111757724017</v>
      </c>
      <c r="AO252">
        <f t="shared" si="197"/>
        <v>-462.51661110038663</v>
      </c>
      <c r="AQ252">
        <f t="shared" si="182"/>
        <v>6.92515979806234E-2</v>
      </c>
      <c r="AR252">
        <f t="shared" si="183"/>
        <v>-26.315607232636893</v>
      </c>
      <c r="AT252">
        <f t="shared" si="209"/>
        <v>-12853.247218916755</v>
      </c>
      <c r="AU252">
        <f t="shared" si="210"/>
        <v>-10396.948268007383</v>
      </c>
      <c r="AV252">
        <f t="shared" si="198"/>
        <v>-2.4614504346382948</v>
      </c>
      <c r="AW252">
        <f t="shared" si="199"/>
        <v>-11837.101568044176</v>
      </c>
      <c r="AX252">
        <f t="shared" si="200"/>
        <v>-2201.5058727999076</v>
      </c>
      <c r="AY252">
        <f t="shared" si="208"/>
        <v>-2.9577100773460598</v>
      </c>
      <c r="BA252">
        <f t="shared" si="184"/>
        <v>1.3730688503812303</v>
      </c>
      <c r="BB252">
        <f t="shared" si="201"/>
        <v>2.7538462959507588</v>
      </c>
      <c r="BC252">
        <f t="shared" si="202"/>
        <v>0.49625964270776501</v>
      </c>
      <c r="BD252">
        <f t="shared" si="185"/>
        <v>-151.56641689768477</v>
      </c>
      <c r="BF252">
        <f t="shared" si="186"/>
        <v>-21.851589178542991</v>
      </c>
      <c r="BG252">
        <f t="shared" si="187"/>
        <v>-142.67927663811929</v>
      </c>
      <c r="BH252">
        <f t="shared" si="203"/>
        <v>37.320723361880709</v>
      </c>
      <c r="BI252">
        <f t="shared" si="204"/>
        <v>37.320723361880709</v>
      </c>
      <c r="BJ252">
        <f t="shared" si="188"/>
        <v>0</v>
      </c>
      <c r="BK252">
        <f t="shared" si="205"/>
        <v>0</v>
      </c>
      <c r="BM252">
        <f t="shared" si="206"/>
        <v>-24.605435474493753</v>
      </c>
      <c r="BN252">
        <f t="shared" si="189"/>
        <v>-171.11285974043454</v>
      </c>
      <c r="BQ252" s="56">
        <f t="shared" si="207"/>
        <v>19.655807096235897</v>
      </c>
      <c r="BR252" s="59"/>
      <c r="BS252" s="59"/>
      <c r="BT252" s="59">
        <v>26302.68</v>
      </c>
      <c r="BU252" s="59">
        <v>-2.9494799999999999</v>
      </c>
      <c r="BV252" s="59">
        <v>-160.22999999999999</v>
      </c>
      <c r="BY252" s="59"/>
      <c r="BZ252" s="59"/>
      <c r="CA252" s="59"/>
      <c r="CC252" s="59"/>
    </row>
    <row r="253" spans="1:81" x14ac:dyDescent="0.2">
      <c r="A253">
        <f t="shared" si="211"/>
        <v>195000</v>
      </c>
      <c r="B253">
        <f t="shared" si="191"/>
        <v>195</v>
      </c>
      <c r="C253">
        <f t="shared" si="159"/>
        <v>1.0074778748239339</v>
      </c>
      <c r="D253">
        <f t="shared" si="160"/>
        <v>0.12191448979128203</v>
      </c>
      <c r="F253">
        <f t="shared" si="161"/>
        <v>3.697679334809403E-3</v>
      </c>
      <c r="G253">
        <f t="shared" si="162"/>
        <v>3.535478236086647E-2</v>
      </c>
      <c r="H253">
        <f t="shared" si="163"/>
        <v>-3.1062378676391336</v>
      </c>
      <c r="J253">
        <f t="shared" si="164"/>
        <v>15</v>
      </c>
      <c r="M253">
        <f t="shared" si="165"/>
        <v>4.0911237908555081E-3</v>
      </c>
      <c r="N253">
        <f t="shared" si="166"/>
        <v>-1.5707963250000001</v>
      </c>
      <c r="O253">
        <f t="shared" si="167"/>
        <v>22.076640406001722</v>
      </c>
      <c r="P253">
        <f t="shared" si="168"/>
        <v>1.5254840753103442</v>
      </c>
      <c r="Q253">
        <f t="shared" si="169"/>
        <v>23.226735082115479</v>
      </c>
      <c r="R253">
        <f t="shared" si="170"/>
        <v>1.5277291805422177</v>
      </c>
      <c r="S253">
        <f t="shared" si="171"/>
        <v>0.99882503916345644</v>
      </c>
      <c r="T253">
        <f t="shared" si="172"/>
        <v>-4.8480738391465765E-2</v>
      </c>
      <c r="U253">
        <f t="shared" si="173"/>
        <v>0.65270207820411363</v>
      </c>
      <c r="V253">
        <f t="shared" si="174"/>
        <v>-0.85965078521438654</v>
      </c>
      <c r="X253">
        <f t="shared" si="192"/>
        <v>-22.335515798622275</v>
      </c>
      <c r="Y253">
        <f t="shared" si="175"/>
        <v>-138.08500433950451</v>
      </c>
      <c r="Z253">
        <f t="shared" si="193"/>
        <v>41.914995660495492</v>
      </c>
      <c r="AC253">
        <v>1</v>
      </c>
      <c r="AD253">
        <f t="shared" si="176"/>
        <v>22.053980403000004</v>
      </c>
      <c r="AE253">
        <f t="shared" si="177"/>
        <v>-2.702100286755045E-2</v>
      </c>
      <c r="AF253">
        <f t="shared" si="178"/>
        <v>2.32792015365E-2</v>
      </c>
      <c r="AG253">
        <f t="shared" si="194"/>
        <v>382.35590287257031</v>
      </c>
      <c r="AH253">
        <f t="shared" si="195"/>
        <v>-486.77098869466909</v>
      </c>
      <c r="AJ253">
        <f t="shared" si="179"/>
        <v>10500</v>
      </c>
      <c r="AK253">
        <f t="shared" si="180"/>
        <v>509.44694730930007</v>
      </c>
      <c r="AL253">
        <v>1</v>
      </c>
      <c r="AM253">
        <f t="shared" si="181"/>
        <v>23.2051981800366</v>
      </c>
      <c r="AN253">
        <f t="shared" si="196"/>
        <v>41.376449152376367</v>
      </c>
      <c r="AO253">
        <f t="shared" si="197"/>
        <v>-450.70175525780098</v>
      </c>
      <c r="AQ253">
        <f t="shared" si="182"/>
        <v>6.5745787338676268E-2</v>
      </c>
      <c r="AR253">
        <f t="shared" si="183"/>
        <v>-25.640857062083747</v>
      </c>
      <c r="AT253">
        <f t="shared" si="209"/>
        <v>-12456.087053211246</v>
      </c>
      <c r="AU253">
        <f t="shared" si="210"/>
        <v>-9835.9361943049098</v>
      </c>
      <c r="AV253">
        <f t="shared" si="198"/>
        <v>-2.4731952665490455</v>
      </c>
      <c r="AW253">
        <f t="shared" si="199"/>
        <v>-11231.710609663751</v>
      </c>
      <c r="AX253">
        <f t="shared" si="200"/>
        <v>-2124.266769969689</v>
      </c>
      <c r="AY253">
        <f t="shared" si="208"/>
        <v>-2.9546693812589155</v>
      </c>
      <c r="BA253">
        <f t="shared" si="184"/>
        <v>1.3884689371238861</v>
      </c>
      <c r="BB253">
        <f t="shared" si="201"/>
        <v>2.8507233628693314</v>
      </c>
      <c r="BC253">
        <f t="shared" si="202"/>
        <v>0.48147411470987</v>
      </c>
      <c r="BD253">
        <f t="shared" si="185"/>
        <v>-152.41356525080468</v>
      </c>
      <c r="BF253">
        <f t="shared" si="186"/>
        <v>-22.204156185045008</v>
      </c>
      <c r="BG253">
        <f t="shared" si="187"/>
        <v>-143.40269969909582</v>
      </c>
      <c r="BH253">
        <f t="shared" si="203"/>
        <v>36.59730030090418</v>
      </c>
      <c r="BI253">
        <f t="shared" si="204"/>
        <v>36.59730030090418</v>
      </c>
      <c r="BJ253">
        <f t="shared" si="188"/>
        <v>0</v>
      </c>
      <c r="BK253">
        <f t="shared" si="205"/>
        <v>0</v>
      </c>
      <c r="BM253">
        <f t="shared" si="206"/>
        <v>-25.054879547914339</v>
      </c>
      <c r="BN253">
        <f t="shared" si="189"/>
        <v>-170.98913444829114</v>
      </c>
      <c r="BQ253" s="56">
        <f t="shared" si="207"/>
        <v>19.75268416315447</v>
      </c>
      <c r="BR253" s="59"/>
      <c r="BS253" s="59"/>
      <c r="BT253" s="59">
        <v>26915.348000000002</v>
      </c>
      <c r="BU253" s="59">
        <v>-2.8411300000000002</v>
      </c>
      <c r="BV253" s="59">
        <v>-159.27600000000001</v>
      </c>
      <c r="BY253" s="59"/>
      <c r="BZ253" s="59"/>
      <c r="CA253" s="59"/>
      <c r="CC253" s="59"/>
    </row>
    <row r="254" spans="1:81" x14ac:dyDescent="0.2">
      <c r="A254">
        <f t="shared" si="211"/>
        <v>200000</v>
      </c>
      <c r="B254">
        <f t="shared" si="191"/>
        <v>200</v>
      </c>
      <c r="C254">
        <f t="shared" si="159"/>
        <v>1.0078647563069434</v>
      </c>
      <c r="D254">
        <f t="shared" si="160"/>
        <v>0.12500843621459273</v>
      </c>
      <c r="F254">
        <f t="shared" si="161"/>
        <v>3.5145607195012324E-3</v>
      </c>
      <c r="G254">
        <f t="shared" si="162"/>
        <v>3.4465204604629193E-2</v>
      </c>
      <c r="H254">
        <f t="shared" si="163"/>
        <v>-3.107127445395371</v>
      </c>
      <c r="J254">
        <f t="shared" si="164"/>
        <v>15</v>
      </c>
      <c r="M254">
        <f t="shared" si="165"/>
        <v>3.9888456960841204E-3</v>
      </c>
      <c r="N254">
        <f t="shared" si="166"/>
        <v>-1.5707963250000001</v>
      </c>
      <c r="O254">
        <f t="shared" si="167"/>
        <v>22.641561142801169</v>
      </c>
      <c r="P254">
        <f t="shared" si="168"/>
        <v>1.5266153891967107</v>
      </c>
      <c r="Q254">
        <f t="shared" si="169"/>
        <v>23.821202221809312</v>
      </c>
      <c r="R254">
        <f t="shared" si="170"/>
        <v>1.5288045777785235</v>
      </c>
      <c r="S254">
        <f t="shared" si="171"/>
        <v>0.99876412535618009</v>
      </c>
      <c r="T254">
        <f t="shared" si="172"/>
        <v>-4.9721811956224798E-2</v>
      </c>
      <c r="U254">
        <f t="shared" si="173"/>
        <v>0.64318509319551675</v>
      </c>
      <c r="V254">
        <f t="shared" si="174"/>
        <v>-0.87214563509746557</v>
      </c>
      <c r="X254">
        <f t="shared" si="192"/>
        <v>-22.682384915084441</v>
      </c>
      <c r="Y254">
        <f t="shared" si="175"/>
        <v>-138.61927852634307</v>
      </c>
      <c r="Z254">
        <f t="shared" si="193"/>
        <v>41.380721473656934</v>
      </c>
      <c r="AC254">
        <v>1</v>
      </c>
      <c r="AD254">
        <f t="shared" si="176"/>
        <v>22.619467080000003</v>
      </c>
      <c r="AE254">
        <f t="shared" si="177"/>
        <v>-2.8424460610177994E-2</v>
      </c>
      <c r="AF254">
        <f t="shared" si="178"/>
        <v>2.387610414E-2</v>
      </c>
      <c r="AG254">
        <f t="shared" si="194"/>
        <v>371.28700490662555</v>
      </c>
      <c r="AH254">
        <f t="shared" si="195"/>
        <v>-483.8994158466316</v>
      </c>
      <c r="AJ254">
        <f t="shared" si="179"/>
        <v>10500</v>
      </c>
      <c r="AK254">
        <f t="shared" si="180"/>
        <v>522.5096895480001</v>
      </c>
      <c r="AL254">
        <v>1</v>
      </c>
      <c r="AM254">
        <f t="shared" si="181"/>
        <v>23.800203261576002</v>
      </c>
      <c r="AN254">
        <f t="shared" si="196"/>
        <v>40.419155770191473</v>
      </c>
      <c r="AO254">
        <f t="shared" si="197"/>
        <v>-439.47443344385948</v>
      </c>
      <c r="AQ254">
        <f t="shared" si="182"/>
        <v>6.2499609377441388E-2</v>
      </c>
      <c r="AR254">
        <f t="shared" si="183"/>
        <v>-24.999843750976556</v>
      </c>
      <c r="AT254">
        <f t="shared" si="209"/>
        <v>-12074.204494581034</v>
      </c>
      <c r="AU254">
        <f t="shared" si="210"/>
        <v>-9312.3606339020898</v>
      </c>
      <c r="AV254">
        <f t="shared" si="198"/>
        <v>-2.4846229046988619</v>
      </c>
      <c r="AW254">
        <f t="shared" si="199"/>
        <v>-10671.386983689734</v>
      </c>
      <c r="AX254">
        <f t="shared" si="200"/>
        <v>-2052.678384509582</v>
      </c>
      <c r="AY254">
        <f t="shared" si="208"/>
        <v>-2.9515602147503186</v>
      </c>
      <c r="BA254">
        <f t="shared" si="184"/>
        <v>1.403160361353031</v>
      </c>
      <c r="BB254">
        <f t="shared" si="201"/>
        <v>2.9421461514426945</v>
      </c>
      <c r="BC254">
        <f t="shared" si="202"/>
        <v>0.46693731005145667</v>
      </c>
      <c r="BD254">
        <f t="shared" si="185"/>
        <v>-153.2464628062896</v>
      </c>
      <c r="BF254">
        <f t="shared" si="186"/>
        <v>-22.550562475525116</v>
      </c>
      <c r="BG254">
        <f t="shared" si="187"/>
        <v>-144.10929623332225</v>
      </c>
      <c r="BH254">
        <f t="shared" si="203"/>
        <v>35.890703766677746</v>
      </c>
      <c r="BI254">
        <f t="shared" si="204"/>
        <v>35.890703766677746</v>
      </c>
      <c r="BJ254">
        <f t="shared" si="188"/>
        <v>0</v>
      </c>
      <c r="BK254">
        <f t="shared" si="205"/>
        <v>0</v>
      </c>
      <c r="BM254">
        <f t="shared" si="206"/>
        <v>-25.492708626967811</v>
      </c>
      <c r="BN254">
        <f t="shared" si="189"/>
        <v>-170.86283342703263</v>
      </c>
      <c r="BQ254" s="56">
        <f t="shared" si="207"/>
        <v>19.844106951727831</v>
      </c>
      <c r="BR254" s="59"/>
      <c r="BS254" s="59"/>
      <c r="BT254" s="59">
        <v>27542.287</v>
      </c>
      <c r="BU254" s="59">
        <v>-2.7366600000000001</v>
      </c>
      <c r="BV254" s="59">
        <v>-158.108</v>
      </c>
      <c r="BY254" s="59"/>
      <c r="BZ254" s="59"/>
      <c r="CA254" s="59"/>
      <c r="CC254" s="59"/>
    </row>
    <row r="255" spans="1:81" x14ac:dyDescent="0.2">
      <c r="A255">
        <f t="shared" si="211"/>
        <v>205000</v>
      </c>
      <c r="B255">
        <f t="shared" si="191"/>
        <v>205</v>
      </c>
      <c r="C255">
        <f t="shared" si="159"/>
        <v>1.0082612781220528</v>
      </c>
      <c r="D255">
        <f t="shared" si="160"/>
        <v>0.12809997868209377</v>
      </c>
      <c r="F255">
        <f t="shared" si="161"/>
        <v>3.344727738035231E-3</v>
      </c>
      <c r="G255">
        <f t="shared" si="162"/>
        <v>3.3619424819304113E-2</v>
      </c>
      <c r="H255">
        <f t="shared" si="163"/>
        <v>-3.1079732251806962</v>
      </c>
      <c r="J255">
        <f t="shared" si="164"/>
        <v>15</v>
      </c>
      <c r="M255">
        <f t="shared" si="165"/>
        <v>3.8915567766674344E-3</v>
      </c>
      <c r="N255">
        <f t="shared" si="166"/>
        <v>-1.5707963250000001</v>
      </c>
      <c r="O255">
        <f t="shared" si="167"/>
        <v>23.206509447011381</v>
      </c>
      <c r="P255">
        <f t="shared" si="168"/>
        <v>1.5276916221134496</v>
      </c>
      <c r="Q255">
        <f t="shared" si="169"/>
        <v>24.41569556871168</v>
      </c>
      <c r="R255">
        <f t="shared" si="170"/>
        <v>1.5298276068455408</v>
      </c>
      <c r="S255">
        <f t="shared" si="171"/>
        <v>0.99870168099711254</v>
      </c>
      <c r="T255">
        <f t="shared" si="172"/>
        <v>-5.0962732244251831E-2</v>
      </c>
      <c r="U255">
        <f t="shared" si="173"/>
        <v>0.6338469290023766</v>
      </c>
      <c r="V255">
        <f t="shared" si="174"/>
        <v>-0.88427951785399816</v>
      </c>
      <c r="X255">
        <f t="shared" si="192"/>
        <v>-23.023048297371965</v>
      </c>
      <c r="Y255">
        <f t="shared" si="175"/>
        <v>-139.13664671796806</v>
      </c>
      <c r="Z255">
        <f t="shared" si="193"/>
        <v>40.863353282031937</v>
      </c>
      <c r="AC255">
        <v>1</v>
      </c>
      <c r="AD255">
        <f t="shared" si="176"/>
        <v>23.184953757000002</v>
      </c>
      <c r="AE255">
        <f t="shared" si="177"/>
        <v>-2.9863448928568258E-2</v>
      </c>
      <c r="AF255">
        <f t="shared" si="178"/>
        <v>2.44730067435E-2</v>
      </c>
      <c r="AG255">
        <f t="shared" si="194"/>
        <v>360.58411392648458</v>
      </c>
      <c r="AH255">
        <f t="shared" si="195"/>
        <v>-480.8679780968169</v>
      </c>
      <c r="AJ255">
        <f t="shared" si="179"/>
        <v>10500</v>
      </c>
      <c r="AK255">
        <f t="shared" si="180"/>
        <v>535.57243178670001</v>
      </c>
      <c r="AL255">
        <v>1</v>
      </c>
      <c r="AM255">
        <f t="shared" si="181"/>
        <v>24.395208343115403</v>
      </c>
      <c r="AN255">
        <f t="shared" si="196"/>
        <v>39.530893705834337</v>
      </c>
      <c r="AO255">
        <f t="shared" si="197"/>
        <v>-428.791956156678</v>
      </c>
      <c r="AQ255">
        <f t="shared" si="182"/>
        <v>5.9488045877180984E-2</v>
      </c>
      <c r="AR255">
        <f t="shared" si="183"/>
        <v>-24.390098809644201</v>
      </c>
      <c r="AT255">
        <f t="shared" si="209"/>
        <v>-11706.967055863346</v>
      </c>
      <c r="AU255">
        <f t="shared" si="210"/>
        <v>-8823.2880641968513</v>
      </c>
      <c r="AV255">
        <f t="shared" si="198"/>
        <v>-2.4957415297765362</v>
      </c>
      <c r="AW255">
        <f t="shared" si="199"/>
        <v>-10151.780610542144</v>
      </c>
      <c r="AX255">
        <f t="shared" si="200"/>
        <v>-1986.1426875810735</v>
      </c>
      <c r="AY255">
        <f t="shared" si="208"/>
        <v>-2.9483883097126942</v>
      </c>
      <c r="BA255">
        <f t="shared" si="184"/>
        <v>1.4171731657234263</v>
      </c>
      <c r="BB255">
        <f t="shared" si="201"/>
        <v>3.02845840683025</v>
      </c>
      <c r="BC255">
        <f t="shared" si="202"/>
        <v>0.45264677993615798</v>
      </c>
      <c r="BD255">
        <f t="shared" si="185"/>
        <v>-154.06524986983641</v>
      </c>
      <c r="BF255">
        <f t="shared" si="186"/>
        <v>-22.89103920353562</v>
      </c>
      <c r="BG255">
        <f t="shared" si="187"/>
        <v>-144.79941057324538</v>
      </c>
      <c r="BH255">
        <f t="shared" si="203"/>
        <v>35.200589426754618</v>
      </c>
      <c r="BI255">
        <f t="shared" si="204"/>
        <v>35.200589426754618</v>
      </c>
      <c r="BJ255">
        <f t="shared" si="188"/>
        <v>0</v>
      </c>
      <c r="BK255">
        <f t="shared" si="205"/>
        <v>0</v>
      </c>
      <c r="BM255">
        <f t="shared" si="206"/>
        <v>-25.919497610365873</v>
      </c>
      <c r="BN255">
        <f t="shared" si="189"/>
        <v>-170.73416070340895</v>
      </c>
      <c r="BQ255" s="56">
        <f t="shared" si="207"/>
        <v>19.930419207115385</v>
      </c>
      <c r="BR255" s="59"/>
      <c r="BS255" s="59"/>
      <c r="BT255" s="59">
        <v>28183.829000000002</v>
      </c>
      <c r="BU255" s="59">
        <v>-2.6523400000000001</v>
      </c>
      <c r="BV255" s="59">
        <v>-157.06299999999999</v>
      </c>
      <c r="BY255" s="59"/>
      <c r="BZ255" s="59"/>
      <c r="CA255" s="59"/>
      <c r="CC255" s="59"/>
    </row>
    <row r="256" spans="1:81" x14ac:dyDescent="0.2">
      <c r="A256">
        <f t="shared" si="211"/>
        <v>210000</v>
      </c>
      <c r="B256">
        <f t="shared" si="191"/>
        <v>210</v>
      </c>
      <c r="C256">
        <f t="shared" si="159"/>
        <v>1.0086674288999988</v>
      </c>
      <c r="D256">
        <f t="shared" si="160"/>
        <v>0.13118906096873223</v>
      </c>
      <c r="F256">
        <f t="shared" si="161"/>
        <v>3.1869245013912812E-3</v>
      </c>
      <c r="G256">
        <f t="shared" si="162"/>
        <v>3.2814277315497374E-2</v>
      </c>
      <c r="H256">
        <f t="shared" si="163"/>
        <v>-3.1087783726845029</v>
      </c>
      <c r="J256">
        <f t="shared" si="164"/>
        <v>15</v>
      </c>
      <c r="M256">
        <f t="shared" si="165"/>
        <v>3.7989006629372572E-3</v>
      </c>
      <c r="N256">
        <f t="shared" si="166"/>
        <v>-1.5707963250000001</v>
      </c>
      <c r="O256">
        <f t="shared" si="167"/>
        <v>23.771483353147779</v>
      </c>
      <c r="P256">
        <f t="shared" si="168"/>
        <v>1.5287166987815595</v>
      </c>
      <c r="Q256">
        <f t="shared" si="169"/>
        <v>25.010213253984801</v>
      </c>
      <c r="R256">
        <f t="shared" si="170"/>
        <v>1.5308020000521141</v>
      </c>
      <c r="S256">
        <f t="shared" si="171"/>
        <v>0.99863770695019949</v>
      </c>
      <c r="T256">
        <f t="shared" si="172"/>
        <v>-5.2203495462915563E-2</v>
      </c>
      <c r="U256">
        <f t="shared" si="173"/>
        <v>0.62468798375922563</v>
      </c>
      <c r="V256">
        <f t="shared" si="174"/>
        <v>-0.89606443061026064</v>
      </c>
      <c r="X256">
        <f t="shared" si="192"/>
        <v>-23.357724825558005</v>
      </c>
      <c r="Y256">
        <f t="shared" si="175"/>
        <v>-139.63754196838636</v>
      </c>
      <c r="Z256">
        <f t="shared" si="193"/>
        <v>40.362458031613642</v>
      </c>
      <c r="AC256">
        <v>1</v>
      </c>
      <c r="AD256">
        <f t="shared" si="176"/>
        <v>23.750440434000001</v>
      </c>
      <c r="AE256">
        <f t="shared" si="177"/>
        <v>-3.133796782272124E-2</v>
      </c>
      <c r="AF256">
        <f t="shared" si="178"/>
        <v>2.5069909347E-2</v>
      </c>
      <c r="AG256">
        <f t="shared" si="194"/>
        <v>350.23868411419926</v>
      </c>
      <c r="AH256">
        <f t="shared" si="195"/>
        <v>-477.69493089435878</v>
      </c>
      <c r="AJ256">
        <f t="shared" si="179"/>
        <v>10500</v>
      </c>
      <c r="AK256">
        <f t="shared" si="180"/>
        <v>548.63517402540015</v>
      </c>
      <c r="AL256">
        <v>1</v>
      </c>
      <c r="AM256">
        <f t="shared" si="181"/>
        <v>24.990213424654801</v>
      </c>
      <c r="AN256">
        <f t="shared" si="196"/>
        <v>38.705185215122256</v>
      </c>
      <c r="AO256">
        <f t="shared" si="197"/>
        <v>-418.61566514129851</v>
      </c>
      <c r="AQ256">
        <f t="shared" si="182"/>
        <v>5.6689021037295707E-2</v>
      </c>
      <c r="AR256">
        <f t="shared" si="183"/>
        <v>-23.809388835664198</v>
      </c>
      <c r="AT256">
        <f t="shared" si="209"/>
        <v>-11353.769666357701</v>
      </c>
      <c r="AU256">
        <f t="shared" si="210"/>
        <v>-8366.0490733532151</v>
      </c>
      <c r="AV256">
        <f t="shared" si="198"/>
        <v>-2.5065594375366809</v>
      </c>
      <c r="AW256">
        <f t="shared" si="199"/>
        <v>-9669.0523797075548</v>
      </c>
      <c r="AX256">
        <f t="shared" si="200"/>
        <v>-1924.1406482692757</v>
      </c>
      <c r="AY256">
        <f t="shared" si="208"/>
        <v>-2.945158893980278</v>
      </c>
      <c r="BA256">
        <f t="shared" si="184"/>
        <v>1.430536355558705</v>
      </c>
      <c r="BB256">
        <f t="shared" si="201"/>
        <v>3.1099779882698768</v>
      </c>
      <c r="BC256">
        <f t="shared" si="202"/>
        <v>0.4385994564435971</v>
      </c>
      <c r="BD256">
        <f t="shared" si="185"/>
        <v>-154.87010222033481</v>
      </c>
      <c r="BF256">
        <f t="shared" si="186"/>
        <v>-23.225801385295007</v>
      </c>
      <c r="BG256">
        <f t="shared" si="187"/>
        <v>-145.47340309985483</v>
      </c>
      <c r="BH256">
        <f t="shared" si="203"/>
        <v>34.526596900145165</v>
      </c>
      <c r="BI256">
        <f t="shared" si="204"/>
        <v>34.526596900145165</v>
      </c>
      <c r="BJ256">
        <f t="shared" si="188"/>
        <v>0</v>
      </c>
      <c r="BK256">
        <f t="shared" si="205"/>
        <v>0</v>
      </c>
      <c r="BM256">
        <f t="shared" si="206"/>
        <v>-26.335779373564883</v>
      </c>
      <c r="BN256">
        <f t="shared" si="189"/>
        <v>-170.60330087952002</v>
      </c>
      <c r="BQ256" s="56">
        <f t="shared" si="207"/>
        <v>20.011938788555014</v>
      </c>
      <c r="BR256" s="59"/>
      <c r="BS256" s="59"/>
      <c r="BT256" s="59">
        <v>28840.314999999999</v>
      </c>
      <c r="BU256" s="59">
        <v>-2.5506799999999998</v>
      </c>
      <c r="BV256" s="59">
        <v>-156.01</v>
      </c>
      <c r="BY256" s="59"/>
      <c r="BZ256" s="59"/>
      <c r="CA256" s="59"/>
      <c r="CC256" s="59"/>
    </row>
    <row r="257" spans="1:81" x14ac:dyDescent="0.2">
      <c r="A257">
        <f t="shared" si="211"/>
        <v>215000</v>
      </c>
      <c r="B257">
        <f t="shared" si="191"/>
        <v>215</v>
      </c>
      <c r="C257">
        <f t="shared" si="159"/>
        <v>1.0090831970139575</v>
      </c>
      <c r="D257">
        <f t="shared" si="160"/>
        <v>0.13427562712670685</v>
      </c>
      <c r="F257">
        <f t="shared" si="161"/>
        <v>3.0400402067355097E-3</v>
      </c>
      <c r="G257">
        <f t="shared" si="162"/>
        <v>3.2046895089692162E-2</v>
      </c>
      <c r="H257">
        <f t="shared" si="163"/>
        <v>-3.1095457549103083</v>
      </c>
      <c r="J257">
        <f t="shared" si="164"/>
        <v>15</v>
      </c>
      <c r="M257">
        <f t="shared" si="165"/>
        <v>3.7105541358922046E-3</v>
      </c>
      <c r="N257">
        <f t="shared" si="166"/>
        <v>-1.5707963250000001</v>
      </c>
      <c r="O257">
        <f t="shared" si="167"/>
        <v>24.336481078156403</v>
      </c>
      <c r="P257">
        <f t="shared" si="168"/>
        <v>1.529694179910738</v>
      </c>
      <c r="Q257">
        <f t="shared" si="169"/>
        <v>25.604753582288232</v>
      </c>
      <c r="R257">
        <f t="shared" si="170"/>
        <v>1.5317311434425369</v>
      </c>
      <c r="S257">
        <f t="shared" si="171"/>
        <v>0.99857220410024994</v>
      </c>
      <c r="T257">
        <f t="shared" si="172"/>
        <v>-5.344409782247915E-2</v>
      </c>
      <c r="U257">
        <f t="shared" si="173"/>
        <v>0.61570807136263439</v>
      </c>
      <c r="V257">
        <f t="shared" si="174"/>
        <v>-0.90751207845139781</v>
      </c>
      <c r="X257">
        <f t="shared" si="192"/>
        <v>-23.686619290008579</v>
      </c>
      <c r="Y257">
        <f t="shared" si="175"/>
        <v>-140.12240416552942</v>
      </c>
      <c r="Z257">
        <f t="shared" si="193"/>
        <v>39.877595834470583</v>
      </c>
      <c r="AC257">
        <v>1</v>
      </c>
      <c r="AD257">
        <f t="shared" si="176"/>
        <v>24.315927111000001</v>
      </c>
      <c r="AE257">
        <f t="shared" si="177"/>
        <v>-3.2848017292636936E-2</v>
      </c>
      <c r="AF257">
        <f t="shared" si="178"/>
        <v>2.5666811950499996E-2</v>
      </c>
      <c r="AG257">
        <f t="shared" si="194"/>
        <v>340.24167047566402</v>
      </c>
      <c r="AH257">
        <f t="shared" si="195"/>
        <v>-474.39722155376973</v>
      </c>
      <c r="AJ257">
        <f t="shared" si="179"/>
        <v>10500</v>
      </c>
      <c r="AK257">
        <f t="shared" si="180"/>
        <v>561.69791626410006</v>
      </c>
      <c r="AL257">
        <v>1</v>
      </c>
      <c r="AM257">
        <f t="shared" si="181"/>
        <v>25.585218506194202</v>
      </c>
      <c r="AN257">
        <f t="shared" si="196"/>
        <v>37.936294555679751</v>
      </c>
      <c r="AO257">
        <f t="shared" si="197"/>
        <v>-408.91046925831199</v>
      </c>
      <c r="AQ257">
        <f t="shared" si="182"/>
        <v>5.4082995765301428E-2</v>
      </c>
      <c r="AR257">
        <f t="shared" si="183"/>
        <v>-23.255688179079616</v>
      </c>
      <c r="AT257">
        <f t="shared" si="209"/>
        <v>-11014.032568652703</v>
      </c>
      <c r="AU257">
        <f t="shared" si="210"/>
        <v>-7938.2110170355645</v>
      </c>
      <c r="AV257">
        <f t="shared" si="198"/>
        <v>-2.5170849749275939</v>
      </c>
      <c r="AW257">
        <f t="shared" si="199"/>
        <v>-9219.8039338678318</v>
      </c>
      <c r="AX257">
        <f t="shared" si="200"/>
        <v>-1866.2200577803183</v>
      </c>
      <c r="AY257">
        <f t="shared" si="208"/>
        <v>-2.9418767435044906</v>
      </c>
      <c r="BA257">
        <f t="shared" si="184"/>
        <v>1.4432778794691214</v>
      </c>
      <c r="BB257">
        <f t="shared" si="201"/>
        <v>3.1869991083800011</v>
      </c>
      <c r="BC257">
        <f t="shared" si="202"/>
        <v>0.42479176857689671</v>
      </c>
      <c r="BD257">
        <f t="shared" si="185"/>
        <v>-155.66122446083472</v>
      </c>
      <c r="BF257">
        <f t="shared" si="186"/>
        <v>-23.555049670839196</v>
      </c>
      <c r="BG257">
        <f t="shared" si="187"/>
        <v>-146.13164588897507</v>
      </c>
      <c r="BH257">
        <f t="shared" si="203"/>
        <v>33.868354111024928</v>
      </c>
      <c r="BI257">
        <f t="shared" si="204"/>
        <v>33.868354111024928</v>
      </c>
      <c r="BJ257">
        <f t="shared" si="188"/>
        <v>0</v>
      </c>
      <c r="BK257">
        <f t="shared" si="205"/>
        <v>0</v>
      </c>
      <c r="BM257">
        <f t="shared" si="206"/>
        <v>-26.742048779219196</v>
      </c>
      <c r="BN257">
        <f t="shared" si="189"/>
        <v>-170.47042142814038</v>
      </c>
      <c r="BQ257" s="56">
        <f t="shared" si="207"/>
        <v>20.088959908665135</v>
      </c>
      <c r="BR257" s="59"/>
      <c r="BS257" s="59"/>
      <c r="BT257" s="59">
        <v>29512.092000000001</v>
      </c>
      <c r="BU257" s="59">
        <v>-2.44991</v>
      </c>
      <c r="BV257" s="59">
        <v>-155.03200000000001</v>
      </c>
      <c r="BY257" s="59"/>
      <c r="BZ257" s="59"/>
      <c r="CA257" s="59"/>
      <c r="CC257" s="59"/>
    </row>
    <row r="258" spans="1:81" x14ac:dyDescent="0.2">
      <c r="A258">
        <f t="shared" si="211"/>
        <v>220000</v>
      </c>
      <c r="B258">
        <f t="shared" si="191"/>
        <v>220</v>
      </c>
      <c r="C258">
        <f t="shared" si="159"/>
        <v>1.0095085705811724</v>
      </c>
      <c r="D258">
        <f t="shared" si="160"/>
        <v>0.13735962149108083</v>
      </c>
      <c r="F258">
        <f t="shared" si="161"/>
        <v>2.9030894638094177E-3</v>
      </c>
      <c r="G258">
        <f t="shared" si="162"/>
        <v>3.1314675325908065E-2</v>
      </c>
      <c r="H258">
        <f t="shared" si="163"/>
        <v>-3.1102779746740921</v>
      </c>
      <c r="J258">
        <f t="shared" si="164"/>
        <v>15</v>
      </c>
      <c r="M258">
        <f t="shared" si="165"/>
        <v>3.6262233600764726E-3</v>
      </c>
      <c r="N258">
        <f t="shared" si="166"/>
        <v>-1.5707963250000001</v>
      </c>
      <c r="O258">
        <f t="shared" si="167"/>
        <v>24.90150100073641</v>
      </c>
      <c r="P258">
        <f t="shared" si="168"/>
        <v>1.5306273034225049</v>
      </c>
      <c r="Q258">
        <f t="shared" si="169"/>
        <v>26.199315012109054</v>
      </c>
      <c r="R258">
        <f t="shared" si="170"/>
        <v>1.5326181160229513</v>
      </c>
      <c r="S258">
        <f t="shared" si="171"/>
        <v>0.99850517335290556</v>
      </c>
      <c r="T258">
        <f t="shared" si="172"/>
        <v>-5.4684535536168935E-2</v>
      </c>
      <c r="U258">
        <f t="shared" si="173"/>
        <v>0.60690649415729758</v>
      </c>
      <c r="V258">
        <f t="shared" si="174"/>
        <v>-0.91863386001587921</v>
      </c>
      <c r="X258">
        <f t="shared" si="192"/>
        <v>-24.009923857626632</v>
      </c>
      <c r="Y258">
        <f t="shared" si="175"/>
        <v>-140.59167657275</v>
      </c>
      <c r="Z258">
        <f t="shared" si="193"/>
        <v>39.408323427249996</v>
      </c>
      <c r="AC258">
        <v>1</v>
      </c>
      <c r="AD258">
        <f t="shared" si="176"/>
        <v>24.881413788</v>
      </c>
      <c r="AE258">
        <f t="shared" si="177"/>
        <v>-3.4393597338315374E-2</v>
      </c>
      <c r="AF258">
        <f t="shared" si="178"/>
        <v>2.6263714553999999E-2</v>
      </c>
      <c r="AG258">
        <f t="shared" si="194"/>
        <v>330.5836554534564</v>
      </c>
      <c r="AH258">
        <f t="shared" si="195"/>
        <v>-470.99054122222793</v>
      </c>
      <c r="AJ258">
        <f t="shared" si="179"/>
        <v>10500</v>
      </c>
      <c r="AK258">
        <f t="shared" si="180"/>
        <v>574.76065850280008</v>
      </c>
      <c r="AL258">
        <v>1</v>
      </c>
      <c r="AM258">
        <f t="shared" si="181"/>
        <v>26.180223587733604</v>
      </c>
      <c r="AN258">
        <f t="shared" si="196"/>
        <v>37.219128330733938</v>
      </c>
      <c r="AO258">
        <f t="shared" si="197"/>
        <v>-399.6444429363645</v>
      </c>
      <c r="AQ258">
        <f t="shared" si="182"/>
        <v>5.1652625761230572E-2</v>
      </c>
      <c r="AR258">
        <f t="shared" si="183"/>
        <v>-22.72715533494145</v>
      </c>
      <c r="AT258">
        <f t="shared" si="209"/>
        <v>-10687.199677807801</v>
      </c>
      <c r="AU258">
        <f t="shared" si="210"/>
        <v>-7537.5539868462993</v>
      </c>
      <c r="AV258">
        <f t="shared" si="198"/>
        <v>-2.5273264868235259</v>
      </c>
      <c r="AW258">
        <f t="shared" si="199"/>
        <v>-8801.0184423592291</v>
      </c>
      <c r="AX258">
        <f t="shared" si="200"/>
        <v>-1811.9854691227879</v>
      </c>
      <c r="AY258">
        <f t="shared" si="208"/>
        <v>-2.9385462281565324</v>
      </c>
      <c r="BA258">
        <f t="shared" si="184"/>
        <v>1.4554246210317219</v>
      </c>
      <c r="BB258">
        <f t="shared" si="201"/>
        <v>3.2597943498393662</v>
      </c>
      <c r="BC258">
        <f t="shared" si="202"/>
        <v>0.41121974133300654</v>
      </c>
      <c r="BD258">
        <f t="shared" si="185"/>
        <v>-156.43884434223477</v>
      </c>
      <c r="BF258">
        <f t="shared" si="186"/>
        <v>-23.878971869470305</v>
      </c>
      <c r="BG258">
        <f t="shared" si="187"/>
        <v>-146.77451901124124</v>
      </c>
      <c r="BH258">
        <f t="shared" si="203"/>
        <v>33.225480988758761</v>
      </c>
      <c r="BI258">
        <f t="shared" si="204"/>
        <v>33.225480988758761</v>
      </c>
      <c r="BJ258">
        <f t="shared" si="188"/>
        <v>0</v>
      </c>
      <c r="BK258">
        <f t="shared" si="205"/>
        <v>0</v>
      </c>
      <c r="BM258">
        <f t="shared" si="206"/>
        <v>-27.138766219309673</v>
      </c>
      <c r="BN258">
        <f t="shared" si="189"/>
        <v>-170.33567466900649</v>
      </c>
      <c r="BQ258" s="56">
        <f t="shared" si="207"/>
        <v>20.161755150124506</v>
      </c>
      <c r="BR258" s="59"/>
      <c r="BS258" s="59"/>
      <c r="BT258" s="59">
        <v>30199.517</v>
      </c>
      <c r="BU258" s="59">
        <v>-2.3553299999999999</v>
      </c>
      <c r="BV258" s="59">
        <v>-154.00200000000001</v>
      </c>
      <c r="BY258" s="59"/>
      <c r="BZ258" s="59"/>
      <c r="CA258" s="59"/>
      <c r="CC258" s="59"/>
    </row>
    <row r="259" spans="1:81" x14ac:dyDescent="0.2">
      <c r="A259">
        <f t="shared" si="211"/>
        <v>225000</v>
      </c>
      <c r="B259">
        <f t="shared" si="191"/>
        <v>225</v>
      </c>
      <c r="C259">
        <f t="shared" si="159"/>
        <v>1.0099435374646106</v>
      </c>
      <c r="D259">
        <f t="shared" si="160"/>
        <v>0.14044098868531718</v>
      </c>
      <c r="F259">
        <f t="shared" si="161"/>
        <v>2.7751956670282168E-3</v>
      </c>
      <c r="G259">
        <f t="shared" si="162"/>
        <v>3.0615249581379757E-2</v>
      </c>
      <c r="H259">
        <f t="shared" si="163"/>
        <v>-3.1109774004186206</v>
      </c>
      <c r="J259">
        <f t="shared" si="164"/>
        <v>15</v>
      </c>
      <c r="M259">
        <f t="shared" si="165"/>
        <v>3.5456406187414397E-3</v>
      </c>
      <c r="N259">
        <f t="shared" si="166"/>
        <v>-1.5707963250000001</v>
      </c>
      <c r="O259">
        <f t="shared" si="167"/>
        <v>25.466541643411599</v>
      </c>
      <c r="P259">
        <f t="shared" si="168"/>
        <v>1.5315190201981743</v>
      </c>
      <c r="Q259">
        <f t="shared" si="169"/>
        <v>26.793896138707762</v>
      </c>
      <c r="R259">
        <f t="shared" si="170"/>
        <v>1.5334657237758416</v>
      </c>
      <c r="S259">
        <f t="shared" si="171"/>
        <v>0.9984366156346034</v>
      </c>
      <c r="T259">
        <f t="shared" si="172"/>
        <v>-5.5924804820243042E-2</v>
      </c>
      <c r="U259">
        <f t="shared" si="173"/>
        <v>0.59828210898306233</v>
      </c>
      <c r="V259">
        <f t="shared" si="174"/>
        <v>-0.92944085700725476</v>
      </c>
      <c r="X259">
        <f t="shared" si="192"/>
        <v>-24.327819338039802</v>
      </c>
      <c r="Y259">
        <f t="shared" si="175"/>
        <v>-141.04580293871686</v>
      </c>
      <c r="Z259">
        <f t="shared" si="193"/>
        <v>38.954197061283139</v>
      </c>
      <c r="AC259">
        <v>1</v>
      </c>
      <c r="AD259">
        <f t="shared" si="176"/>
        <v>25.446900464999999</v>
      </c>
      <c r="AE259">
        <f t="shared" si="177"/>
        <v>-3.5974707959756526E-2</v>
      </c>
      <c r="AF259">
        <f t="shared" si="178"/>
        <v>2.6860617157499999E-2</v>
      </c>
      <c r="AG259">
        <f t="shared" si="194"/>
        <v>321.25495885060246</v>
      </c>
      <c r="AH259">
        <f t="shared" si="195"/>
        <v>-467.48938237883539</v>
      </c>
      <c r="AJ259">
        <f t="shared" si="179"/>
        <v>10500</v>
      </c>
      <c r="AK259">
        <f t="shared" si="180"/>
        <v>587.82340074150011</v>
      </c>
      <c r="AL259">
        <v>1</v>
      </c>
      <c r="AM259">
        <f t="shared" si="181"/>
        <v>26.775228669273005</v>
      </c>
      <c r="AN259">
        <f t="shared" si="196"/>
        <v>36.54915109870668</v>
      </c>
      <c r="AO259">
        <f t="shared" si="197"/>
        <v>-390.78847759418198</v>
      </c>
      <c r="AQ259">
        <f t="shared" si="182"/>
        <v>4.9382472185322539E-2</v>
      </c>
      <c r="AR259">
        <f t="shared" si="183"/>
        <v>-22.222112483395144</v>
      </c>
      <c r="AT259">
        <f t="shared" si="209"/>
        <v>-10372.737275945567</v>
      </c>
      <c r="AU259">
        <f t="shared" si="210"/>
        <v>-7162.0496128488221</v>
      </c>
      <c r="AV259">
        <f t="shared" si="198"/>
        <v>-2.5372922718346196</v>
      </c>
      <c r="AW259">
        <f t="shared" si="199"/>
        <v>-8410.0104429253315</v>
      </c>
      <c r="AX259">
        <f t="shared" si="200"/>
        <v>-1761.0898461674285</v>
      </c>
      <c r="AY259">
        <f t="shared" si="208"/>
        <v>-2.9351713520850913</v>
      </c>
      <c r="BA259">
        <f t="shared" si="184"/>
        <v>1.467002399746441</v>
      </c>
      <c r="BB259">
        <f t="shared" si="201"/>
        <v>3.3286164853971445</v>
      </c>
      <c r="BC259">
        <f t="shared" si="202"/>
        <v>0.3978790802504717</v>
      </c>
      <c r="BD259">
        <f t="shared" si="185"/>
        <v>-157.20320791905186</v>
      </c>
      <c r="BF259">
        <f t="shared" si="186"/>
        <v>-24.197744267817029</v>
      </c>
      <c r="BG259">
        <f t="shared" si="187"/>
        <v>-147.40240739578687</v>
      </c>
      <c r="BH259">
        <f t="shared" si="203"/>
        <v>32.597592604213133</v>
      </c>
      <c r="BI259">
        <f t="shared" si="204"/>
        <v>32.597592604213133</v>
      </c>
      <c r="BJ259">
        <f t="shared" si="188"/>
        <v>0</v>
      </c>
      <c r="BK259">
        <f t="shared" si="205"/>
        <v>0</v>
      </c>
      <c r="BM259">
        <f t="shared" si="206"/>
        <v>-27.526360753214171</v>
      </c>
      <c r="BN259">
        <f t="shared" si="189"/>
        <v>-170.199199476735</v>
      </c>
      <c r="BQ259" s="56">
        <f t="shared" si="207"/>
        <v>20.23057728568228</v>
      </c>
      <c r="BR259" s="59"/>
      <c r="BS259" s="59"/>
      <c r="BT259" s="59">
        <v>30902.954000000002</v>
      </c>
      <c r="BU259" s="59">
        <v>-2.2543500000000001</v>
      </c>
      <c r="BV259" s="59">
        <v>-152.994</v>
      </c>
      <c r="BY259" s="59"/>
      <c r="BZ259" s="59"/>
      <c r="CA259" s="59"/>
      <c r="CC259" s="59"/>
    </row>
    <row r="260" spans="1:81" x14ac:dyDescent="0.2">
      <c r="A260">
        <f t="shared" si="211"/>
        <v>230000</v>
      </c>
      <c r="B260">
        <f t="shared" si="191"/>
        <v>230</v>
      </c>
      <c r="C260">
        <f t="shared" si="159"/>
        <v>1.0103880852746523</v>
      </c>
      <c r="D260">
        <f t="shared" si="160"/>
        <v>0.14351967362673501</v>
      </c>
      <c r="F260">
        <f t="shared" si="161"/>
        <v>2.6555768857259273E-3</v>
      </c>
      <c r="G260">
        <f t="shared" si="162"/>
        <v>2.994645792920192E-2</v>
      </c>
      <c r="H260">
        <f t="shared" si="163"/>
        <v>-3.1116461920707983</v>
      </c>
      <c r="J260">
        <f t="shared" si="164"/>
        <v>15</v>
      </c>
      <c r="M260">
        <f t="shared" si="165"/>
        <v>3.4685614748557565E-3</v>
      </c>
      <c r="N260">
        <f t="shared" si="166"/>
        <v>-1.5707963250000001</v>
      </c>
      <c r="O260">
        <f t="shared" si="167"/>
        <v>26.031601656933958</v>
      </c>
      <c r="P260">
        <f t="shared" si="168"/>
        <v>1.5323720251812862</v>
      </c>
      <c r="Q260">
        <f t="shared" si="169"/>
        <v>27.388495679283121</v>
      </c>
      <c r="R260">
        <f t="shared" si="170"/>
        <v>1.5342765292526674</v>
      </c>
      <c r="S260">
        <f t="shared" si="171"/>
        <v>0.99836653189254165</v>
      </c>
      <c r="T260">
        <f t="shared" si="172"/>
        <v>-5.7164901894059726E-2</v>
      </c>
      <c r="U260">
        <f t="shared" si="173"/>
        <v>0.58983338698329613</v>
      </c>
      <c r="V260">
        <f t="shared" si="174"/>
        <v>-0.93994382709713886</v>
      </c>
      <c r="X260">
        <f t="shared" si="192"/>
        <v>-24.640476280919966</v>
      </c>
      <c r="Y260">
        <f t="shared" si="175"/>
        <v>-141.48522509442321</v>
      </c>
      <c r="Z260">
        <f t="shared" si="193"/>
        <v>38.514774905576786</v>
      </c>
      <c r="AC260">
        <v>1</v>
      </c>
      <c r="AD260">
        <f t="shared" si="176"/>
        <v>26.012387142000001</v>
      </c>
      <c r="AE260">
        <f t="shared" si="177"/>
        <v>-3.7591349156960399E-2</v>
      </c>
      <c r="AF260">
        <f t="shared" si="178"/>
        <v>2.7457519760999999E-2</v>
      </c>
      <c r="AG260">
        <f t="shared" si="194"/>
        <v>312.24573270266046</v>
      </c>
      <c r="AH260">
        <f t="shared" si="195"/>
        <v>-463.90709982804117</v>
      </c>
      <c r="AJ260">
        <f t="shared" si="179"/>
        <v>10500</v>
      </c>
      <c r="AK260">
        <f t="shared" si="180"/>
        <v>600.88614298020002</v>
      </c>
      <c r="AL260">
        <v>1</v>
      </c>
      <c r="AM260">
        <f t="shared" si="181"/>
        <v>27.3702337508124</v>
      </c>
      <c r="AN260">
        <f t="shared" si="196"/>
        <v>35.922313634535939</v>
      </c>
      <c r="AO260">
        <f t="shared" si="197"/>
        <v>-382.31597806704406</v>
      </c>
      <c r="AQ260">
        <f t="shared" si="182"/>
        <v>4.7258755865993068E-2</v>
      </c>
      <c r="AR260">
        <f t="shared" si="183"/>
        <v>-21.739027698356814</v>
      </c>
      <c r="AT260">
        <f t="shared" si="209"/>
        <v>-10070.132947774175</v>
      </c>
      <c r="AU260">
        <f t="shared" si="210"/>
        <v>-6809.8423042921286</v>
      </c>
      <c r="AV260">
        <f t="shared" si="198"/>
        <v>-2.5469905458867217</v>
      </c>
      <c r="AW260">
        <f t="shared" si="199"/>
        <v>-8044.3832002673616</v>
      </c>
      <c r="AX260">
        <f t="shared" si="200"/>
        <v>-1713.2276009728562</v>
      </c>
      <c r="AY260">
        <f t="shared" si="208"/>
        <v>-2.931755789397557</v>
      </c>
      <c r="BA260">
        <f t="shared" si="184"/>
        <v>1.4780359796916098</v>
      </c>
      <c r="BB260">
        <f t="shared" si="201"/>
        <v>3.3937001235487601</v>
      </c>
      <c r="BC260">
        <f t="shared" si="202"/>
        <v>0.3847652435108353</v>
      </c>
      <c r="BD260">
        <f t="shared" si="185"/>
        <v>-157.95457541831519</v>
      </c>
      <c r="BF260">
        <f t="shared" si="186"/>
        <v>-24.511532772359136</v>
      </c>
      <c r="BG260">
        <f t="shared" si="187"/>
        <v>-148.01569818034207</v>
      </c>
      <c r="BH260">
        <f t="shared" si="203"/>
        <v>31.984301819657929</v>
      </c>
      <c r="BI260">
        <f t="shared" si="204"/>
        <v>31.984301819657929</v>
      </c>
      <c r="BJ260">
        <f t="shared" si="188"/>
        <v>0</v>
      </c>
      <c r="BK260">
        <f t="shared" si="205"/>
        <v>0</v>
      </c>
      <c r="BM260">
        <f t="shared" si="206"/>
        <v>-27.905232895907893</v>
      </c>
      <c r="BN260">
        <f t="shared" si="189"/>
        <v>-170.06112276202688</v>
      </c>
      <c r="BQ260" s="56">
        <f t="shared" si="207"/>
        <v>20.2956609238339</v>
      </c>
      <c r="BR260" s="59"/>
      <c r="BS260" s="59"/>
      <c r="BT260" s="59">
        <v>31622.776999999998</v>
      </c>
      <c r="BU260" s="59">
        <v>-2.1282199999999998</v>
      </c>
      <c r="BV260" s="59">
        <v>-152.041</v>
      </c>
      <c r="BY260" s="59"/>
      <c r="BZ260" s="59"/>
      <c r="CA260" s="59"/>
      <c r="CC260" s="59"/>
    </row>
    <row r="261" spans="1:81" x14ac:dyDescent="0.2">
      <c r="A261">
        <f t="shared" si="211"/>
        <v>235000</v>
      </c>
      <c r="B261">
        <f t="shared" si="191"/>
        <v>235</v>
      </c>
      <c r="C261">
        <f t="shared" si="159"/>
        <v>1.0108422013708083</v>
      </c>
      <c r="D261">
        <f t="shared" si="160"/>
        <v>0.14659562153188621</v>
      </c>
      <c r="F261">
        <f t="shared" si="161"/>
        <v>2.5435338456740171E-3</v>
      </c>
      <c r="G261">
        <f t="shared" si="162"/>
        <v>2.9306326457304483E-2</v>
      </c>
      <c r="H261">
        <f t="shared" si="163"/>
        <v>-3.1122863235426959</v>
      </c>
      <c r="J261">
        <f t="shared" si="164"/>
        <v>15</v>
      </c>
      <c r="M261">
        <f t="shared" si="165"/>
        <v>3.3947622945396769E-3</v>
      </c>
      <c r="N261">
        <f t="shared" si="166"/>
        <v>-1.5707963250000001</v>
      </c>
      <c r="O261">
        <f t="shared" si="167"/>
        <v>26.596679806672963</v>
      </c>
      <c r="P261">
        <f t="shared" si="168"/>
        <v>1.5331887845235512</v>
      </c>
      <c r="Q261">
        <f t="shared" si="169"/>
        <v>27.983112460026263</v>
      </c>
      <c r="R261">
        <f t="shared" si="170"/>
        <v>1.5350528774007794</v>
      </c>
      <c r="S261">
        <f t="shared" si="171"/>
        <v>0.99829492309464285</v>
      </c>
      <c r="T261">
        <f t="shared" si="172"/>
        <v>-5.8404822980145696E-2</v>
      </c>
      <c r="U261">
        <f t="shared" si="173"/>
        <v>0.5815584675893144</v>
      </c>
      <c r="V261">
        <f t="shared" si="174"/>
        <v>-0.95015319974628532</v>
      </c>
      <c r="X261">
        <f t="shared" si="192"/>
        <v>-24.948055930356819</v>
      </c>
      <c r="Y261">
        <f t="shared" si="175"/>
        <v>-141.91038096754008</v>
      </c>
      <c r="Z261">
        <f t="shared" si="193"/>
        <v>38.089619032459922</v>
      </c>
      <c r="AC261">
        <v>1</v>
      </c>
      <c r="AD261">
        <f t="shared" si="176"/>
        <v>26.577873819000004</v>
      </c>
      <c r="AE261">
        <f t="shared" si="177"/>
        <v>-3.9243520929926987E-2</v>
      </c>
      <c r="AF261">
        <f t="shared" si="178"/>
        <v>2.8054422364499999E-2</v>
      </c>
      <c r="AG261">
        <f t="shared" si="194"/>
        <v>303.54604265054144</v>
      </c>
      <c r="AH261">
        <f t="shared" si="195"/>
        <v>-460.25597355702894</v>
      </c>
      <c r="AJ261">
        <f t="shared" si="179"/>
        <v>10500</v>
      </c>
      <c r="AK261">
        <f t="shared" si="180"/>
        <v>613.94888521890005</v>
      </c>
      <c r="AL261">
        <v>1</v>
      </c>
      <c r="AM261">
        <f t="shared" si="181"/>
        <v>27.965238832351801</v>
      </c>
      <c r="AN261">
        <f t="shared" si="196"/>
        <v>35.334991721455225</v>
      </c>
      <c r="AO261">
        <f t="shared" si="197"/>
        <v>-374.20259741076904</v>
      </c>
      <c r="AQ261">
        <f t="shared" si="182"/>
        <v>4.526914771775592E-2</v>
      </c>
      <c r="AR261">
        <f t="shared" si="183"/>
        <v>-21.276499427345282</v>
      </c>
      <c r="AT261">
        <f t="shared" si="209"/>
        <v>-9778.8946871744829</v>
      </c>
      <c r="AU261">
        <f t="shared" si="210"/>
        <v>-6479.2325982821039</v>
      </c>
      <c r="AV261">
        <f t="shared" si="198"/>
        <v>-2.5564294124486429</v>
      </c>
      <c r="AW261">
        <f t="shared" si="199"/>
        <v>-7701.9923221268664</v>
      </c>
      <c r="AX261">
        <f t="shared" si="200"/>
        <v>-1668.1287640576365</v>
      </c>
      <c r="AY261">
        <f t="shared" si="208"/>
        <v>-2.928302915805002</v>
      </c>
      <c r="BA261">
        <f t="shared" si="184"/>
        <v>1.4885490844959643</v>
      </c>
      <c r="BB261">
        <f t="shared" si="201"/>
        <v>3.4552631991950431</v>
      </c>
      <c r="BC261">
        <f t="shared" si="202"/>
        <v>0.37187350335635916</v>
      </c>
      <c r="BD261">
        <f t="shared" si="185"/>
        <v>-158.69321772059001</v>
      </c>
      <c r="BF261">
        <f t="shared" si="186"/>
        <v>-24.820493902977603</v>
      </c>
      <c r="BG261">
        <f t="shared" si="187"/>
        <v>-148.6147784811634</v>
      </c>
      <c r="BH261">
        <f t="shared" si="203"/>
        <v>31.385221518836602</v>
      </c>
      <c r="BI261">
        <f t="shared" si="204"/>
        <v>31.385221518836602</v>
      </c>
      <c r="BJ261">
        <f t="shared" si="188"/>
        <v>0</v>
      </c>
      <c r="BK261">
        <f t="shared" si="205"/>
        <v>0</v>
      </c>
      <c r="BM261">
        <f t="shared" si="206"/>
        <v>-28.275757102172644</v>
      </c>
      <c r="BN261">
        <f t="shared" si="189"/>
        <v>-169.92156076057336</v>
      </c>
      <c r="BQ261" s="56">
        <f t="shared" si="207"/>
        <v>20.35722399948018</v>
      </c>
      <c r="BR261" s="59"/>
      <c r="BS261" s="59"/>
      <c r="BT261" s="59">
        <v>32359.366000000002</v>
      </c>
      <c r="BU261" s="59">
        <v>-2.03586</v>
      </c>
      <c r="BV261" s="59">
        <v>-151.05000000000001</v>
      </c>
      <c r="BY261" s="59"/>
      <c r="BZ261" s="59"/>
      <c r="CA261" s="59"/>
      <c r="CC261" s="59"/>
    </row>
    <row r="262" spans="1:81" x14ac:dyDescent="0.2">
      <c r="A262">
        <f t="shared" si="211"/>
        <v>240000</v>
      </c>
      <c r="B262">
        <f t="shared" si="191"/>
        <v>240</v>
      </c>
      <c r="C262">
        <f t="shared" si="159"/>
        <v>1.0113058728634687</v>
      </c>
      <c r="D262">
        <f t="shared" si="160"/>
        <v>0.14966877792185065</v>
      </c>
      <c r="F262">
        <f t="shared" si="161"/>
        <v>2.4384396547679475E-3</v>
      </c>
      <c r="G262">
        <f t="shared" si="162"/>
        <v>2.8693047625295367E-2</v>
      </c>
      <c r="H262">
        <f t="shared" si="163"/>
        <v>-3.1128996023747049</v>
      </c>
      <c r="J262">
        <f t="shared" si="164"/>
        <v>15</v>
      </c>
      <c r="M262">
        <f t="shared" si="165"/>
        <v>3.3240380800701004E-3</v>
      </c>
      <c r="N262">
        <f t="shared" si="166"/>
        <v>-1.5707963250000001</v>
      </c>
      <c r="O262">
        <f t="shared" si="167"/>
        <v>27.161774960701909</v>
      </c>
      <c r="P262">
        <f t="shared" si="168"/>
        <v>1.5339715593490388</v>
      </c>
      <c r="Q262">
        <f t="shared" si="169"/>
        <v>28.577745404789358</v>
      </c>
      <c r="R262">
        <f t="shared" si="170"/>
        <v>1.5357969181718385</v>
      </c>
      <c r="S262">
        <f t="shared" si="171"/>
        <v>0.99822179022951818</v>
      </c>
      <c r="T262">
        <f t="shared" si="172"/>
        <v>-5.9644564304264257E-2</v>
      </c>
      <c r="U262">
        <f t="shared" si="173"/>
        <v>0.57345520709901676</v>
      </c>
      <c r="V262">
        <f t="shared" si="174"/>
        <v>-0.96007907452049912</v>
      </c>
      <c r="X262">
        <f t="shared" si="192"/>
        <v>-25.250711057890854</v>
      </c>
      <c r="Y262">
        <f t="shared" si="175"/>
        <v>-142.32170295414119</v>
      </c>
      <c r="Z262">
        <f t="shared" si="193"/>
        <v>37.678297045858812</v>
      </c>
      <c r="AC262">
        <v>1</v>
      </c>
      <c r="AD262">
        <f t="shared" si="176"/>
        <v>27.143360496000003</v>
      </c>
      <c r="AE262">
        <f t="shared" si="177"/>
        <v>-4.0931223278656302E-2</v>
      </c>
      <c r="AF262">
        <f t="shared" si="178"/>
        <v>2.8651324968000002E-2</v>
      </c>
      <c r="AG262">
        <f t="shared" si="194"/>
        <v>295.14593726833311</v>
      </c>
      <c r="AH262">
        <f t="shared" si="195"/>
        <v>-456.54727216727122</v>
      </c>
      <c r="AJ262">
        <f t="shared" si="179"/>
        <v>10500</v>
      </c>
      <c r="AK262">
        <f t="shared" si="180"/>
        <v>627.01162745760007</v>
      </c>
      <c r="AL262">
        <v>1</v>
      </c>
      <c r="AM262">
        <f t="shared" si="181"/>
        <v>28.560243913891203</v>
      </c>
      <c r="AN262">
        <f t="shared" si="196"/>
        <v>34.783933743698093</v>
      </c>
      <c r="AO262">
        <f t="shared" si="197"/>
        <v>-366.42600454704819</v>
      </c>
      <c r="AQ262">
        <f t="shared" si="182"/>
        <v>4.3402589398483515E-2</v>
      </c>
      <c r="AR262">
        <f t="shared" si="183"/>
        <v>-20.833242911272087</v>
      </c>
      <c r="AT262">
        <f t="shared" si="209"/>
        <v>-9498.5501236115233</v>
      </c>
      <c r="AU262">
        <f t="shared" si="210"/>
        <v>-6168.6623391811308</v>
      </c>
      <c r="AV262">
        <f t="shared" si="198"/>
        <v>-2.565616838441994</v>
      </c>
      <c r="AW262">
        <f t="shared" si="199"/>
        <v>-7380.9146059797949</v>
      </c>
      <c r="AX262">
        <f t="shared" si="200"/>
        <v>-1625.5540835353886</v>
      </c>
      <c r="AY262">
        <f t="shared" si="208"/>
        <v>-2.9248158367675856</v>
      </c>
      <c r="BA262">
        <f t="shared" si="184"/>
        <v>1.4985644174210322</v>
      </c>
      <c r="BB262">
        <f t="shared" si="201"/>
        <v>3.5135083260695992</v>
      </c>
      <c r="BC262">
        <f t="shared" si="202"/>
        <v>0.35919899832559166</v>
      </c>
      <c r="BD262">
        <f t="shared" si="185"/>
        <v>-159.41941336710013</v>
      </c>
      <c r="BF262">
        <f t="shared" si="186"/>
        <v>-25.124775659743083</v>
      </c>
      <c r="BG262">
        <f t="shared" si="187"/>
        <v>-149.20003352532265</v>
      </c>
      <c r="BH262">
        <f t="shared" si="203"/>
        <v>30.799966474677348</v>
      </c>
      <c r="BI262">
        <f t="shared" si="204"/>
        <v>30.799966474677348</v>
      </c>
      <c r="BJ262">
        <f t="shared" si="188"/>
        <v>0</v>
      </c>
      <c r="BK262">
        <f t="shared" si="205"/>
        <v>0</v>
      </c>
      <c r="BM262">
        <f t="shared" si="206"/>
        <v>-28.638283985812684</v>
      </c>
      <c r="BN262">
        <f t="shared" si="189"/>
        <v>-169.78062015822255</v>
      </c>
      <c r="BQ262" s="56">
        <f t="shared" si="207"/>
        <v>20.415469126354736</v>
      </c>
      <c r="BR262" s="59"/>
      <c r="BS262" s="59"/>
      <c r="BT262" s="59">
        <v>33113.112000000001</v>
      </c>
      <c r="BU262" s="59">
        <v>-1.91717</v>
      </c>
      <c r="BV262" s="59">
        <v>-150.17400000000001</v>
      </c>
      <c r="BY262" s="59"/>
      <c r="BZ262" s="59"/>
      <c r="CA262" s="59"/>
      <c r="CC262" s="59"/>
    </row>
    <row r="263" spans="1:81" x14ac:dyDescent="0.2">
      <c r="A263">
        <f t="shared" si="211"/>
        <v>245000</v>
      </c>
      <c r="B263">
        <f t="shared" si="191"/>
        <v>245</v>
      </c>
      <c r="C263">
        <f t="shared" si="159"/>
        <v>1.0117790866156804</v>
      </c>
      <c r="D263">
        <f t="shared" si="160"/>
        <v>0.15273908862744934</v>
      </c>
      <c r="F263">
        <f t="shared" si="161"/>
        <v>2.3397309893091614E-3</v>
      </c>
      <c r="G263">
        <f t="shared" si="162"/>
        <v>2.8104963063701718E-2</v>
      </c>
      <c r="H263">
        <f t="shared" si="163"/>
        <v>-3.1134876869362986</v>
      </c>
      <c r="J263">
        <f t="shared" si="164"/>
        <v>15</v>
      </c>
      <c r="M263">
        <f t="shared" si="165"/>
        <v>3.2562005682319349E-3</v>
      </c>
      <c r="N263">
        <f t="shared" si="166"/>
        <v>-1.5707963250000001</v>
      </c>
      <c r="O263">
        <f t="shared" si="167"/>
        <v>27.72688607933949</v>
      </c>
      <c r="P263">
        <f t="shared" si="168"/>
        <v>1.5347224266179003</v>
      </c>
      <c r="Q263">
        <f t="shared" si="169"/>
        <v>29.172393525138745</v>
      </c>
      <c r="R263">
        <f t="shared" si="170"/>
        <v>1.5365106263699682</v>
      </c>
      <c r="S263">
        <f t="shared" si="171"/>
        <v>0.99814713430642799</v>
      </c>
      <c r="T263">
        <f t="shared" si="172"/>
        <v>-6.088412209548328E-2</v>
      </c>
      <c r="U263">
        <f t="shared" si="173"/>
        <v>0.56552122226293444</v>
      </c>
      <c r="V263">
        <f t="shared" si="174"/>
        <v>-0.96973122152461644</v>
      </c>
      <c r="X263">
        <f t="shared" si="192"/>
        <v>-25.548586692261431</v>
      </c>
      <c r="Y263">
        <f t="shared" si="175"/>
        <v>-142.71961659618549</v>
      </c>
      <c r="Z263">
        <f t="shared" si="193"/>
        <v>37.280383403814511</v>
      </c>
      <c r="AC263">
        <v>1</v>
      </c>
      <c r="AD263">
        <f t="shared" si="176"/>
        <v>27.708847173000002</v>
      </c>
      <c r="AE263">
        <f t="shared" si="177"/>
        <v>-4.2654456203148346E-2</v>
      </c>
      <c r="AF263">
        <f t="shared" si="178"/>
        <v>2.9248227571499998E-2</v>
      </c>
      <c r="AG263">
        <f t="shared" si="194"/>
        <v>287.03550669485674</v>
      </c>
      <c r="AH263">
        <f t="shared" si="195"/>
        <v>-452.79131587340402</v>
      </c>
      <c r="AJ263">
        <f t="shared" si="179"/>
        <v>10500</v>
      </c>
      <c r="AK263">
        <f t="shared" si="180"/>
        <v>640.0743696963001</v>
      </c>
      <c r="AL263">
        <v>1</v>
      </c>
      <c r="AM263">
        <f t="shared" si="181"/>
        <v>29.155248995430604</v>
      </c>
      <c r="AN263">
        <f t="shared" si="196"/>
        <v>34.266215663600384</v>
      </c>
      <c r="AO263">
        <f t="shared" si="197"/>
        <v>-358.96568010709342</v>
      </c>
      <c r="AQ263">
        <f t="shared" si="182"/>
        <v>4.164913932053594E-2</v>
      </c>
      <c r="AR263">
        <f t="shared" si="183"/>
        <v>-20.40807826706261</v>
      </c>
      <c r="AT263">
        <f t="shared" si="209"/>
        <v>-9228.6458311824226</v>
      </c>
      <c r="AU263">
        <f t="shared" si="210"/>
        <v>-5876.7014546525506</v>
      </c>
      <c r="AV263">
        <f t="shared" si="198"/>
        <v>-2.5745606350032584</v>
      </c>
      <c r="AW263">
        <f t="shared" si="199"/>
        <v>-7079.4212751030864</v>
      </c>
      <c r="AX263">
        <f t="shared" si="200"/>
        <v>-1585.2908891593356</v>
      </c>
      <c r="AY263">
        <f t="shared" si="208"/>
        <v>-2.9212974125927511</v>
      </c>
      <c r="BA263">
        <f t="shared" si="184"/>
        <v>1.5081036855080046</v>
      </c>
      <c r="BB263">
        <f t="shared" si="201"/>
        <v>3.5686240255820811</v>
      </c>
      <c r="BC263">
        <f t="shared" si="202"/>
        <v>0.34673677758949273</v>
      </c>
      <c r="BD263">
        <f t="shared" si="185"/>
        <v>-160.13344601945491</v>
      </c>
      <c r="BF263">
        <f t="shared" si="186"/>
        <v>-25.424518281568087</v>
      </c>
      <c r="BG263">
        <f t="shared" si="187"/>
        <v>-149.77184509566641</v>
      </c>
      <c r="BH263">
        <f t="shared" si="203"/>
        <v>30.228154904333593</v>
      </c>
      <c r="BI263">
        <f t="shared" si="204"/>
        <v>30.228154904333593</v>
      </c>
      <c r="BJ263">
        <f t="shared" si="188"/>
        <v>0</v>
      </c>
      <c r="BK263">
        <f t="shared" si="205"/>
        <v>0</v>
      </c>
      <c r="BM263">
        <f t="shared" si="206"/>
        <v>-28.993142307150169</v>
      </c>
      <c r="BN263">
        <f t="shared" si="189"/>
        <v>-169.63839907621147</v>
      </c>
      <c r="BQ263" s="56">
        <f t="shared" si="207"/>
        <v>20.470584825867221</v>
      </c>
      <c r="BR263" s="59"/>
      <c r="BS263" s="59"/>
      <c r="BT263" s="59">
        <v>33884.415999999997</v>
      </c>
      <c r="BU263" s="59">
        <v>-1.81593</v>
      </c>
      <c r="BV263" s="59">
        <v>-149.483</v>
      </c>
      <c r="BY263" s="59"/>
      <c r="BZ263" s="59"/>
      <c r="CA263" s="59"/>
      <c r="CC263" s="59"/>
    </row>
    <row r="264" spans="1:81" x14ac:dyDescent="0.2">
      <c r="A264">
        <f t="shared" si="211"/>
        <v>250000</v>
      </c>
      <c r="B264">
        <f t="shared" si="191"/>
        <v>250</v>
      </c>
      <c r="C264">
        <f t="shared" si="159"/>
        <v>1.0122618292449514</v>
      </c>
      <c r="D264">
        <f t="shared" si="160"/>
        <v>0.15580649979437419</v>
      </c>
      <c r="F264">
        <f t="shared" si="161"/>
        <v>2.2469005081727179E-3</v>
      </c>
      <c r="G264">
        <f t="shared" si="162"/>
        <v>2.7540548467881423E-2</v>
      </c>
      <c r="H264">
        <f t="shared" si="163"/>
        <v>-3.1140521015321188</v>
      </c>
      <c r="J264">
        <f t="shared" si="164"/>
        <v>15</v>
      </c>
      <c r="M264">
        <f t="shared" si="165"/>
        <v>3.1910765568672964E-3</v>
      </c>
      <c r="N264">
        <f t="shared" si="166"/>
        <v>-1.5707963250000001</v>
      </c>
      <c r="O264">
        <f t="shared" si="167"/>
        <v>28.292012205943497</v>
      </c>
      <c r="P264">
        <f t="shared" si="168"/>
        <v>1.5354432974942327</v>
      </c>
      <c r="Q264">
        <f t="shared" si="169"/>
        <v>29.767055911599151</v>
      </c>
      <c r="R264">
        <f t="shared" si="170"/>
        <v>1.5371958191248187</v>
      </c>
      <c r="S264">
        <f t="shared" si="171"/>
        <v>0.99807095635524423</v>
      </c>
      <c r="T264">
        <f t="shared" si="172"/>
        <v>-6.2123492586243015E-2</v>
      </c>
      <c r="U264">
        <f t="shared" si="173"/>
        <v>0.5577539292796726</v>
      </c>
      <c r="V264">
        <f t="shared" si="174"/>
        <v>-0.97911908362071709</v>
      </c>
      <c r="X264">
        <f t="shared" si="192"/>
        <v>-25.841820760996839</v>
      </c>
      <c r="Y264">
        <f t="shared" si="175"/>
        <v>-143.10453952030272</v>
      </c>
      <c r="Z264">
        <f t="shared" si="193"/>
        <v>36.895460479697277</v>
      </c>
      <c r="AC264">
        <v>1</v>
      </c>
      <c r="AD264">
        <f t="shared" si="176"/>
        <v>28.274333850000001</v>
      </c>
      <c r="AE264">
        <f t="shared" si="177"/>
        <v>-4.4413219703403117E-2</v>
      </c>
      <c r="AF264">
        <f t="shared" si="178"/>
        <v>2.9845130175000002E-2</v>
      </c>
      <c r="AG264">
        <f t="shared" si="194"/>
        <v>279.20493180919686</v>
      </c>
      <c r="AH264">
        <f t="shared" si="195"/>
        <v>-448.99753829656555</v>
      </c>
      <c r="AJ264">
        <f t="shared" si="179"/>
        <v>10500</v>
      </c>
      <c r="AK264">
        <f t="shared" si="180"/>
        <v>653.13711193500001</v>
      </c>
      <c r="AL264">
        <v>1</v>
      </c>
      <c r="AM264">
        <f t="shared" si="181"/>
        <v>29.750254076970005</v>
      </c>
      <c r="AN264">
        <f t="shared" si="196"/>
        <v>33.779202217904249</v>
      </c>
      <c r="AO264">
        <f t="shared" si="197"/>
        <v>-351.80273656500003</v>
      </c>
      <c r="AQ264">
        <f t="shared" si="182"/>
        <v>3.9999840000639997E-2</v>
      </c>
      <c r="AR264">
        <f t="shared" si="183"/>
        <v>-19.99992000032</v>
      </c>
      <c r="AT264">
        <f t="shared" si="209"/>
        <v>-8968.7466936721685</v>
      </c>
      <c r="AU264">
        <f t="shared" si="210"/>
        <v>-5602.0361295712819</v>
      </c>
      <c r="AV264">
        <f t="shared" si="198"/>
        <v>-2.5832684423829382</v>
      </c>
      <c r="AW264">
        <f t="shared" si="199"/>
        <v>-6795.954911898416</v>
      </c>
      <c r="AX264">
        <f t="shared" si="200"/>
        <v>-1547.1495889258599</v>
      </c>
      <c r="AY264">
        <f t="shared" si="208"/>
        <v>-2.9177502808696847</v>
      </c>
      <c r="BA264">
        <f t="shared" si="184"/>
        <v>1.5171876268872317</v>
      </c>
      <c r="BB264">
        <f t="shared" si="201"/>
        <v>3.6207858449109893</v>
      </c>
      <c r="BC264">
        <f t="shared" si="202"/>
        <v>0.33448183848674651</v>
      </c>
      <c r="BD264">
        <f t="shared" si="185"/>
        <v>-160.83560230903444</v>
      </c>
      <c r="BF264">
        <f t="shared" si="186"/>
        <v>-25.719854912379759</v>
      </c>
      <c r="BG264">
        <f t="shared" si="187"/>
        <v>-150.33059024542206</v>
      </c>
      <c r="BH264">
        <f t="shared" si="203"/>
        <v>29.669409754577941</v>
      </c>
      <c r="BI264">
        <f t="shared" si="204"/>
        <v>29.669409754577941</v>
      </c>
      <c r="BJ264">
        <f t="shared" si="188"/>
        <v>0</v>
      </c>
      <c r="BK264">
        <f t="shared" si="205"/>
        <v>0</v>
      </c>
      <c r="BM264">
        <f t="shared" si="206"/>
        <v>-29.34064075729075</v>
      </c>
      <c r="BN264">
        <f t="shared" si="189"/>
        <v>-169.49498793638762</v>
      </c>
      <c r="BQ264" s="56">
        <f t="shared" si="207"/>
        <v>20.522746645196122</v>
      </c>
      <c r="BR264" s="59"/>
      <c r="BS264" s="59"/>
      <c r="BT264" s="59">
        <v>34673.684999999998</v>
      </c>
      <c r="BU264" s="59">
        <v>-1.6807799999999999</v>
      </c>
      <c r="BV264" s="59">
        <v>-148.328</v>
      </c>
      <c r="BY264" s="59"/>
      <c r="BZ264" s="59"/>
      <c r="CA264" s="59"/>
      <c r="CC264" s="59"/>
    </row>
    <row r="265" spans="1:81" x14ac:dyDescent="0.2">
      <c r="A265">
        <f t="shared" si="211"/>
        <v>255000</v>
      </c>
      <c r="B265">
        <f t="shared" si="191"/>
        <v>255</v>
      </c>
      <c r="C265">
        <f t="shared" ref="C265:C328" si="212">SQRT((A265/Fesr)^2+1)</f>
        <v>1.0127540871250864</v>
      </c>
      <c r="D265">
        <f t="shared" ref="D265:D328" si="213">ATAN(A265/Fesr)</f>
        <v>0.15887095788823347</v>
      </c>
      <c r="F265">
        <f t="shared" ref="F265:F328" si="214">(Ro/(Ro+Rdcr))/SQRT((A265/(Q*Fo))^2+(1-(A265^2/Fo^2))^2)</f>
        <v>2.159490303069566E-3</v>
      </c>
      <c r="G265">
        <f t="shared" ref="G265:G328" si="215">-ATAN(A265*Fo/(Q*(Fo^2-A265^2)))</f>
        <v>2.6998400294420265E-2</v>
      </c>
      <c r="H265">
        <f t="shared" ref="H265:H328" si="216">IF(G265&gt;0,G265-Pi,G265)</f>
        <v>-3.1145942497055801</v>
      </c>
      <c r="J265">
        <f t="shared" ref="J265:J328" si="217">Vin/Vramp</f>
        <v>15</v>
      </c>
      <c r="M265">
        <f t="shared" ref="M265:M328" si="218">1/(2*Pi*_Rfb1*(Cc1ea_u+Cc2ea_u)*A265)</f>
        <v>3.1285064283012708E-3</v>
      </c>
      <c r="N265">
        <f t="shared" ref="N265:N328" si="219">-Pi/2</f>
        <v>-1.5707963250000001</v>
      </c>
      <c r="O265">
        <f t="shared" ref="O265:O328" si="220">SQRT(1+(A265/Fz1_u)^2)</f>
        <v>28.857152458785158</v>
      </c>
      <c r="P265">
        <f t="shared" ref="P265:P328" si="221">ATAN2(Fz1_u,A265)</f>
        <v>1.5361359335594709</v>
      </c>
      <c r="Q265">
        <f t="shared" ref="Q265:Q328" si="222">SQRT(1+(A265/Fz2_u)^2)</f>
        <v>30.361731725925953</v>
      </c>
      <c r="R265">
        <f t="shared" ref="R265:R328" si="223">ATAN2(Fz2_u,A265)</f>
        <v>1.5378541713145215</v>
      </c>
      <c r="S265">
        <f t="shared" ref="S265:S328" si="224">1/SQRT(1+(A265/Fp1_u)^2)</f>
        <v>0.99799325742641121</v>
      </c>
      <c r="T265">
        <f t="shared" ref="T265:T328" si="225">-ATAN2(Fp1_u,A265)</f>
        <v>-6.3362672012423821E-2</v>
      </c>
      <c r="U265">
        <f t="shared" ref="U265:U328" si="226">1/SQRT(1+(A265/Fp2_u)^2)</f>
        <v>0.55015057858695249</v>
      </c>
      <c r="V265">
        <f t="shared" ref="V265:V328" si="227">-ATAN2(Fp2_u,A265)</f>
        <v>-0.98825178013606374</v>
      </c>
      <c r="X265">
        <f t="shared" si="192"/>
        <v>-26.130544656551159</v>
      </c>
      <c r="Y265">
        <f t="shared" ref="Y265:Y328" si="228">(180/Pi)*(D265+H265+N265+P265+R265+T265+V265)</f>
        <v>-143.47688059956835</v>
      </c>
      <c r="Z265">
        <f t="shared" si="193"/>
        <v>36.523119400431654</v>
      </c>
      <c r="AC265">
        <v>1</v>
      </c>
      <c r="AD265">
        <f t="shared" ref="AD265:AD328" si="229">Rcea1_u*Cc1ea_u*A265*2*Pi</f>
        <v>28.839820527000001</v>
      </c>
      <c r="AE265">
        <f t="shared" ref="AE265:AE328" si="230">-Rcea1_u*Cc1ea_u*Cc2ea_u*(A265*2*Pi)^2</f>
        <v>-4.6207513779420589E-2</v>
      </c>
      <c r="AF265">
        <f t="shared" ref="AF265:AF328" si="231">(Cc2ea_u+Cc1ea_u)*A265*2*Pi</f>
        <v>3.0442032778499998E-2</v>
      </c>
      <c r="AG265">
        <f t="shared" si="194"/>
        <v>271.64452508237378</v>
      </c>
      <c r="AH265">
        <f t="shared" si="195"/>
        <v>-445.17454647178494</v>
      </c>
      <c r="AJ265">
        <f t="shared" ref="AJ265:AJ328" si="232">_Rfb1</f>
        <v>10500</v>
      </c>
      <c r="AK265">
        <f t="shared" ref="AK265:AK328" si="233">_Rfb1*Rcea2_u*Cc3ea_u*A265*2*Pi</f>
        <v>666.19985417370015</v>
      </c>
      <c r="AL265">
        <v>1</v>
      </c>
      <c r="AM265">
        <f t="shared" ref="AM265:AM328" si="234">(_Rfb1+Rcea2_u)*Cc3ea_u*A265*2*Pi</f>
        <v>30.3452591585094</v>
      </c>
      <c r="AN265">
        <f t="shared" si="196"/>
        <v>33.320513370828152</v>
      </c>
      <c r="AO265">
        <f t="shared" si="197"/>
        <v>-344.91975935865793</v>
      </c>
      <c r="AQ265">
        <f t="shared" ref="AQ265:AQ328" si="235">Eadcg/(1+(Eadcg*A265/GBP)^2)</f>
        <v>3.8446603434819551E-2</v>
      </c>
      <c r="AR265">
        <f t="shared" ref="AR265:AR328" si="236">-(A265*Eadcg*Eadcg/GBP)/(1+(Eadcg*A265/GBP)^2)</f>
        <v>-19.607767751757972</v>
      </c>
      <c r="AT265">
        <f t="shared" si="209"/>
        <v>-8718.4353068818637</v>
      </c>
      <c r="AU265">
        <f t="shared" si="210"/>
        <v>-5343.4582080992541</v>
      </c>
      <c r="AV265">
        <f t="shared" si="198"/>
        <v>-2.5917477183655144</v>
      </c>
      <c r="AW265">
        <f t="shared" si="199"/>
        <v>-6529.109516685563</v>
      </c>
      <c r="AX265">
        <f t="shared" si="200"/>
        <v>-1510.9606909051704</v>
      </c>
      <c r="AY265">
        <f t="shared" si="208"/>
        <v>-2.9141768765667422</v>
      </c>
      <c r="BA265">
        <f t="shared" ref="BA265:BA328" si="237">SQRT(AT265^2+AU265^2)/SQRT(AW265^2+AX265^2)</f>
        <v>1.5258360404772311</v>
      </c>
      <c r="BB265">
        <f t="shared" si="201"/>
        <v>3.670157375632348</v>
      </c>
      <c r="BC265">
        <f t="shared" si="202"/>
        <v>0.32242915820122775</v>
      </c>
      <c r="BD265">
        <f t="shared" ref="BD265:BD328" si="238">BC265*180/Pi-180</f>
        <v>-161.52617002200429</v>
      </c>
      <c r="BF265">
        <f t="shared" ref="BF265:BF328" si="239">20*LOG(BA265*J265*F265*C265)</f>
        <v>-26.010912188006113</v>
      </c>
      <c r="BG265">
        <f t="shared" ref="BG265:BG328" si="240">(180/Pi)*(D265+H265+BC265)</f>
        <v>-150.87664024516397</v>
      </c>
      <c r="BH265">
        <f t="shared" si="203"/>
        <v>29.123359754836031</v>
      </c>
      <c r="BI265">
        <f t="shared" si="204"/>
        <v>29.123359754836031</v>
      </c>
      <c r="BJ265">
        <f t="shared" ref="BJ265:BJ328" si="241">SUM((BF266&lt;0)*(BF265&gt;0))*A265</f>
        <v>0</v>
      </c>
      <c r="BK265">
        <f t="shared" si="205"/>
        <v>0</v>
      </c>
      <c r="BM265">
        <f t="shared" si="206"/>
        <v>-29.681069563638466</v>
      </c>
      <c r="BN265">
        <f t="shared" ref="BN265:BN328" si="242">(H265+D265)*180/Pi</f>
        <v>-169.3504702231597</v>
      </c>
      <c r="BQ265" s="56">
        <f t="shared" si="207"/>
        <v>20.572118175917488</v>
      </c>
      <c r="BR265" s="59"/>
      <c r="BS265" s="59"/>
      <c r="BT265" s="59">
        <v>35481.339</v>
      </c>
      <c r="BU265" s="59">
        <v>-1.5620799999999999</v>
      </c>
      <c r="BV265" s="59">
        <v>-147.47</v>
      </c>
      <c r="BY265" s="59"/>
      <c r="BZ265" s="59"/>
      <c r="CA265" s="59"/>
      <c r="CC265" s="59"/>
    </row>
    <row r="266" spans="1:81" x14ac:dyDescent="0.2">
      <c r="A266">
        <f t="shared" si="211"/>
        <v>260000</v>
      </c>
      <c r="B266">
        <f t="shared" ref="B266:B329" si="243">A266/1000</f>
        <v>260</v>
      </c>
      <c r="C266">
        <f t="shared" si="212"/>
        <v>1.0132558463880463</v>
      </c>
      <c r="D266">
        <f t="shared" si="213"/>
        <v>0.16193240969951195</v>
      </c>
      <c r="F266">
        <f t="shared" si="214"/>
        <v>2.0770862261860119E-3</v>
      </c>
      <c r="G266">
        <f t="shared" si="215"/>
        <v>2.6477224013572841E-2</v>
      </c>
      <c r="H266">
        <f t="shared" si="216"/>
        <v>-3.1151154259864273</v>
      </c>
      <c r="J266">
        <f t="shared" si="217"/>
        <v>15</v>
      </c>
      <c r="M266">
        <f t="shared" si="218"/>
        <v>3.0683428431416307E-3</v>
      </c>
      <c r="N266">
        <f t="shared" si="219"/>
        <v>-1.5707963250000001</v>
      </c>
      <c r="O266">
        <f t="shared" si="220"/>
        <v>29.422306023859075</v>
      </c>
      <c r="P266">
        <f t="shared" si="221"/>
        <v>1.5368019611603676</v>
      </c>
      <c r="Q266">
        <f t="shared" si="222"/>
        <v>30.956420194267338</v>
      </c>
      <c r="R266">
        <f t="shared" si="223"/>
        <v>1.5384872292136824</v>
      </c>
      <c r="S266">
        <f t="shared" si="224"/>
        <v>0.99791403859090555</v>
      </c>
      <c r="T266">
        <f t="shared" si="225"/>
        <v>-6.4601656613413661E-2</v>
      </c>
      <c r="U266">
        <f t="shared" si="226"/>
        <v>0.54270828581554287</v>
      </c>
      <c r="V266">
        <f t="shared" si="227"/>
        <v>-0.99713811180204859</v>
      </c>
      <c r="X266">
        <f t="shared" ref="X266:X329" si="244">20*LOG(C266*J266*O266*Q266*F266*M266*S266*U266)</f>
        <v>-26.41488373768275</v>
      </c>
      <c r="Y266">
        <f t="shared" si="228"/>
        <v>-143.83703930523868</v>
      </c>
      <c r="Z266">
        <f t="shared" ref="Z266:Z329" si="245">Y266+180</f>
        <v>36.162960694761324</v>
      </c>
      <c r="AC266">
        <v>1</v>
      </c>
      <c r="AD266">
        <f t="shared" si="229"/>
        <v>29.405307204</v>
      </c>
      <c r="AE266">
        <f t="shared" si="230"/>
        <v>-4.803733843120081E-2</v>
      </c>
      <c r="AF266">
        <f t="shared" si="231"/>
        <v>3.1038935381999998E-2</v>
      </c>
      <c r="AG266">
        <f t="shared" ref="AG266:AG329" si="246">AC266*AE266/(AE266^2+AF266^2)+AD266*AF266/(AE266^2+AF266^2)</f>
        <v>264.34476413208228</v>
      </c>
      <c r="AH266">
        <f t="shared" ref="AH266:AH329" si="247">AD266*AE266/(AE266^2+AF266^2)-AC266*AF266/(AE266^2+AF266^2)</f>
        <v>-441.3301786462925</v>
      </c>
      <c r="AJ266">
        <f t="shared" si="232"/>
        <v>10500</v>
      </c>
      <c r="AK266">
        <f t="shared" si="233"/>
        <v>679.26259641240006</v>
      </c>
      <c r="AL266">
        <v>1</v>
      </c>
      <c r="AM266">
        <f t="shared" si="234"/>
        <v>30.940264240048801</v>
      </c>
      <c r="AN266">
        <f t="shared" ref="AN266:AN329" si="248">AJ266*AL266/(AL266^2+AM266^2)+AK266*AM266/(AL266^2+AM266^2)</f>
        <v>32.887995225782092</v>
      </c>
      <c r="AO266">
        <f t="shared" ref="AO266:AO329" si="249">AK266*AL266/(AL266^2+AM266^2)-AJ266*AM266/(AL266^2+AM266^2)</f>
        <v>-338.30066619876123</v>
      </c>
      <c r="AQ266">
        <f t="shared" si="235"/>
        <v>3.6982111752545295E-2</v>
      </c>
      <c r="AR266">
        <f t="shared" si="236"/>
        <v>-19.230698111323552</v>
      </c>
      <c r="AT266">
        <f t="shared" si="209"/>
        <v>-8477.3114053550089</v>
      </c>
      <c r="AU266">
        <f t="shared" si="210"/>
        <v>-5099.8556783195727</v>
      </c>
      <c r="AV266">
        <f t="shared" ref="AV266:AV329" si="250">ATAN2(AT266,AU266)</f>
        <v>-2.6000057296790491</v>
      </c>
      <c r="AW266">
        <f t="shared" ref="AW266:AW329" si="251">AG266-AH266*AO266/_Rfb2+AG266*AN266/_Rfb2+AN266-AO266*AR266+AQ266*AN266</f>
        <v>-6277.6132177098571</v>
      </c>
      <c r="AX266">
        <f t="shared" ref="AX266:AX329" si="252">AH266+AH266*AN266/_Rfb2+AG266*AO266/_Rfb2+AO266+AO266*AQ266+AN266*AR266</f>
        <v>-1476.5722628722178</v>
      </c>
      <c r="AY266">
        <f t="shared" si="208"/>
        <v>-2.9105794500716264</v>
      </c>
      <c r="BA266">
        <f t="shared" si="237"/>
        <v>1.5340678174143574</v>
      </c>
      <c r="BB266">
        <f t="shared" ref="BB266:BB329" si="253">20*LOG(BA266)</f>
        <v>3.7168911828434141</v>
      </c>
      <c r="BC266">
        <f t="shared" ref="BC266:BC329" si="254">AV266-AY266</f>
        <v>0.31057372039257736</v>
      </c>
      <c r="BD266">
        <f t="shared" si="238"/>
        <v>-162.20543657349594</v>
      </c>
      <c r="BF266">
        <f t="shared" si="239"/>
        <v>-26.297810754917968</v>
      </c>
      <c r="BG266">
        <f t="shared" si="240"/>
        <v>-151.41035972979526</v>
      </c>
      <c r="BH266">
        <f t="shared" ref="BH266:BH329" si="255">IF(BG266&gt;180,BG266-180,BG266+180)</f>
        <v>28.58964027020474</v>
      </c>
      <c r="BI266">
        <f t="shared" ref="BI266:BI329" si="256">IF(BH266&gt;180,BH266-360,BH266)</f>
        <v>28.58964027020474</v>
      </c>
      <c r="BJ266">
        <f t="shared" si="241"/>
        <v>0</v>
      </c>
      <c r="BK266">
        <f t="shared" ref="BK266:BK329" si="257">IF(BJ266&gt;0,BI266,0)</f>
        <v>0</v>
      </c>
      <c r="BM266">
        <f t="shared" ref="BM266:BM329" si="258">20*LOG(J266*F266*C266)</f>
        <v>-30.014701937761387</v>
      </c>
      <c r="BN266">
        <f t="shared" si="242"/>
        <v>-169.20492315629932</v>
      </c>
      <c r="BQ266" s="56">
        <f t="shared" ref="BQ266:BQ329" si="259">20*LOG(BA266*7)</f>
        <v>20.61885198312855</v>
      </c>
      <c r="BR266" s="59"/>
      <c r="BS266" s="59"/>
      <c r="BT266" s="59">
        <v>36307.805</v>
      </c>
      <c r="BU266" s="59">
        <v>-1.4274800000000001</v>
      </c>
      <c r="BV266" s="59">
        <v>-146.52500000000001</v>
      </c>
      <c r="BY266" s="59"/>
      <c r="BZ266" s="59"/>
      <c r="CA266" s="59"/>
      <c r="CC266" s="59"/>
    </row>
    <row r="267" spans="1:81" x14ac:dyDescent="0.2">
      <c r="A267">
        <f t="shared" si="211"/>
        <v>265000</v>
      </c>
      <c r="B267">
        <f t="shared" si="243"/>
        <v>265</v>
      </c>
      <c r="C267">
        <f t="shared" si="212"/>
        <v>1.0137670929258367</v>
      </c>
      <c r="D267">
        <f t="shared" si="213"/>
        <v>0.16499080234844479</v>
      </c>
      <c r="F267">
        <f t="shared" si="214"/>
        <v>1.9993129633353451E-3</v>
      </c>
      <c r="G267">
        <f t="shared" si="215"/>
        <v>2.5975823709134704E-2</v>
      </c>
      <c r="H267">
        <f t="shared" si="216"/>
        <v>-3.1156168262908657</v>
      </c>
      <c r="J267">
        <f t="shared" si="217"/>
        <v>15</v>
      </c>
      <c r="M267">
        <f t="shared" si="218"/>
        <v>3.0104495819502793E-3</v>
      </c>
      <c r="N267">
        <f t="shared" si="219"/>
        <v>-1.5707963250000001</v>
      </c>
      <c r="O267">
        <f t="shared" si="220"/>
        <v>29.987472148505397</v>
      </c>
      <c r="P267">
        <f t="shared" si="221"/>
        <v>1.5374428841371546</v>
      </c>
      <c r="Q267">
        <f t="shared" si="222"/>
        <v>31.551120601099129</v>
      </c>
      <c r="R267">
        <f t="shared" si="223"/>
        <v>1.5390964226001655</v>
      </c>
      <c r="S267">
        <f t="shared" si="224"/>
        <v>0.99783330094019529</v>
      </c>
      <c r="T267">
        <f t="shared" si="225"/>
        <v>-6.5840442632175436E-2</v>
      </c>
      <c r="U267">
        <f t="shared" si="226"/>
        <v>0.53542405925242487</v>
      </c>
      <c r="V267">
        <f t="shared" si="227"/>
        <v>-1.0057865666978041</v>
      </c>
      <c r="X267">
        <f t="shared" si="244"/>
        <v>-26.694957775098732</v>
      </c>
      <c r="Y267">
        <f t="shared" si="228"/>
        <v>-144.18540521996525</v>
      </c>
      <c r="Z267">
        <f t="shared" si="245"/>
        <v>35.814594780034753</v>
      </c>
      <c r="AC267">
        <v>1</v>
      </c>
      <c r="AD267">
        <f t="shared" si="229"/>
        <v>29.970793881000006</v>
      </c>
      <c r="AE267">
        <f t="shared" si="230"/>
        <v>-4.9902693658743738E-2</v>
      </c>
      <c r="AF267">
        <f t="shared" si="231"/>
        <v>3.1635837985500001E-2</v>
      </c>
      <c r="AG267">
        <f t="shared" si="246"/>
        <v>257.29631890674648</v>
      </c>
      <c r="AH267">
        <f t="shared" si="247"/>
        <v>-437.47155957332762</v>
      </c>
      <c r="AJ267">
        <f t="shared" si="232"/>
        <v>10500</v>
      </c>
      <c r="AK267">
        <f t="shared" si="233"/>
        <v>692.32533865110008</v>
      </c>
      <c r="AL267">
        <v>1</v>
      </c>
      <c r="AM267">
        <f t="shared" si="234"/>
        <v>31.535269321588203</v>
      </c>
      <c r="AN267">
        <f t="shared" si="248"/>
        <v>32.479694731343344</v>
      </c>
      <c r="AO267">
        <f t="shared" si="249"/>
        <v>-331.9305821847816</v>
      </c>
      <c r="AQ267">
        <f t="shared" si="235"/>
        <v>3.559973086603465E-2</v>
      </c>
      <c r="AR267">
        <f t="shared" si="236"/>
        <v>-18.867857358998364</v>
      </c>
      <c r="AT267">
        <f t="shared" si="209"/>
        <v>-8244.9913049421993</v>
      </c>
      <c r="AU267">
        <f t="shared" si="210"/>
        <v>-4870.2041139102021</v>
      </c>
      <c r="AV267">
        <f t="shared" si="250"/>
        <v>-2.6080495459365927</v>
      </c>
      <c r="AW267">
        <f t="shared" si="251"/>
        <v>-6040.3132375050409</v>
      </c>
      <c r="AX267">
        <f t="shared" si="252"/>
        <v>-1443.8477582235425</v>
      </c>
      <c r="AY267">
        <f t="shared" ref="AY267:AY330" si="260">ATAN2(AW267,AX267)</f>
        <v>-2.9069600834149907</v>
      </c>
      <c r="BA267">
        <f t="shared" si="237"/>
        <v>1.5419009736552807</v>
      </c>
      <c r="BB267">
        <f t="shared" si="253"/>
        <v>3.7611296535975565</v>
      </c>
      <c r="BC267">
        <f t="shared" si="254"/>
        <v>0.29891053747839802</v>
      </c>
      <c r="BD267">
        <f t="shared" si="238"/>
        <v>-162.87368773093112</v>
      </c>
      <c r="BF267">
        <f t="shared" si="239"/>
        <v>-26.580665730257437</v>
      </c>
      <c r="BG267">
        <f t="shared" si="240"/>
        <v>-151.9321060174762</v>
      </c>
      <c r="BH267">
        <f t="shared" si="255"/>
        <v>28.067893982523799</v>
      </c>
      <c r="BI267">
        <f t="shared" si="256"/>
        <v>28.067893982523799</v>
      </c>
      <c r="BJ267">
        <f t="shared" si="241"/>
        <v>0</v>
      </c>
      <c r="BK267">
        <f t="shared" si="257"/>
        <v>0</v>
      </c>
      <c r="BM267">
        <f t="shared" si="258"/>
        <v>-30.341795383854993</v>
      </c>
      <c r="BN267">
        <f t="shared" si="242"/>
        <v>-169.05841828654511</v>
      </c>
      <c r="BQ267" s="56">
        <f t="shared" si="259"/>
        <v>20.663090453882692</v>
      </c>
      <c r="BR267" s="59"/>
      <c r="BS267" s="59"/>
      <c r="BT267" s="59">
        <v>37153.523000000001</v>
      </c>
      <c r="BU267" s="59">
        <v>-1.30297</v>
      </c>
      <c r="BV267" s="59">
        <v>-145.744</v>
      </c>
      <c r="BY267" s="59"/>
      <c r="BZ267" s="59"/>
      <c r="CA267" s="59"/>
      <c r="CC267" s="59"/>
    </row>
    <row r="268" spans="1:81" x14ac:dyDescent="0.2">
      <c r="A268">
        <f t="shared" si="211"/>
        <v>270000</v>
      </c>
      <c r="B268">
        <f t="shared" si="243"/>
        <v>270</v>
      </c>
      <c r="C268">
        <f t="shared" si="212"/>
        <v>1.0142878123924222</v>
      </c>
      <c r="D268">
        <f t="shared" si="213"/>
        <v>0.16804608328980428</v>
      </c>
      <c r="F268">
        <f t="shared" si="214"/>
        <v>1.925829742652059E-3</v>
      </c>
      <c r="G268">
        <f t="shared" si="215"/>
        <v>2.5493092848543317E-2</v>
      </c>
      <c r="H268">
        <f t="shared" si="216"/>
        <v>-3.1160995571514567</v>
      </c>
      <c r="J268">
        <f t="shared" si="217"/>
        <v>15</v>
      </c>
      <c r="M268">
        <f t="shared" si="218"/>
        <v>2.9547005156178668E-3</v>
      </c>
      <c r="N268">
        <f t="shared" si="219"/>
        <v>-1.5707963250000001</v>
      </c>
      <c r="O268">
        <f t="shared" si="220"/>
        <v>30.552650135739267</v>
      </c>
      <c r="P268">
        <f t="shared" si="221"/>
        <v>1.5380600951412151</v>
      </c>
      <c r="Q268">
        <f t="shared" si="222"/>
        <v>32.145832283832327</v>
      </c>
      <c r="R268">
        <f t="shared" si="223"/>
        <v>1.5396830755199069</v>
      </c>
      <c r="S268">
        <f t="shared" si="224"/>
        <v>0.99775104558619754</v>
      </c>
      <c r="T268">
        <f t="shared" si="225"/>
        <v>-6.7079026315314288E-2</v>
      </c>
      <c r="U268">
        <f t="shared" si="226"/>
        <v>0.52829482413745954</v>
      </c>
      <c r="V268">
        <f t="shared" si="227"/>
        <v>-1.0142053270012505</v>
      </c>
      <c r="X268">
        <f t="shared" si="244"/>
        <v>-26.970881348996656</v>
      </c>
      <c r="Y268">
        <f t="shared" si="228"/>
        <v>-144.52235768793167</v>
      </c>
      <c r="Z268">
        <f t="shared" si="245"/>
        <v>35.477642312068326</v>
      </c>
      <c r="AC268">
        <v>1</v>
      </c>
      <c r="AD268">
        <f t="shared" si="229"/>
        <v>30.536280558000005</v>
      </c>
      <c r="AE268">
        <f t="shared" si="230"/>
        <v>-5.1803579462049394E-2</v>
      </c>
      <c r="AF268">
        <f t="shared" si="231"/>
        <v>3.2232740588999997E-2</v>
      </c>
      <c r="AG268">
        <f t="shared" si="246"/>
        <v>250.49007333013586</v>
      </c>
      <c r="AH268">
        <f t="shared" si="247"/>
        <v>-433.6051531088836</v>
      </c>
      <c r="AJ268">
        <f t="shared" si="232"/>
        <v>10500</v>
      </c>
      <c r="AK268">
        <f t="shared" si="233"/>
        <v>705.38808088980011</v>
      </c>
      <c r="AL268">
        <v>1</v>
      </c>
      <c r="AM268">
        <f t="shared" si="234"/>
        <v>32.130274403127608</v>
      </c>
      <c r="AN268">
        <f t="shared" si="248"/>
        <v>32.093837626408629</v>
      </c>
      <c r="AO268">
        <f t="shared" si="249"/>
        <v>-325.79572869613065</v>
      </c>
      <c r="AQ268">
        <f t="shared" si="235"/>
        <v>3.4293435207698189E-2</v>
      </c>
      <c r="AR268">
        <f t="shared" si="236"/>
        <v>-18.518455012157023</v>
      </c>
      <c r="AT268">
        <f t="shared" si="209"/>
        <v>-8021.1073557864001</v>
      </c>
      <c r="AU268">
        <f t="shared" si="210"/>
        <v>-4653.5589641798979</v>
      </c>
      <c r="AV268">
        <f t="shared" si="250"/>
        <v>-2.6158860357148583</v>
      </c>
      <c r="AW268">
        <f t="shared" si="251"/>
        <v>-5816.1627856559689</v>
      </c>
      <c r="AX268">
        <f t="shared" si="252"/>
        <v>-1412.664149444915</v>
      </c>
      <c r="AY268">
        <f t="shared" si="260"/>
        <v>-2.9033207048854499</v>
      </c>
      <c r="BA268">
        <f t="shared" si="237"/>
        <v>1.5493526832830558</v>
      </c>
      <c r="BB268">
        <f t="shared" si="253"/>
        <v>3.8030057724765873</v>
      </c>
      <c r="BC268">
        <f t="shared" si="254"/>
        <v>0.28743466917059157</v>
      </c>
      <c r="BD268">
        <f t="shared" si="238"/>
        <v>-163.53120655196767</v>
      </c>
      <c r="BF268">
        <f t="shared" si="239"/>
        <v>-26.859587111152553</v>
      </c>
      <c r="BG268">
        <f t="shared" si="240"/>
        <v>-152.4422285761303</v>
      </c>
      <c r="BH268">
        <f t="shared" si="255"/>
        <v>27.557771423869696</v>
      </c>
      <c r="BI268">
        <f t="shared" si="256"/>
        <v>27.557771423869696</v>
      </c>
      <c r="BJ268">
        <f t="shared" si="241"/>
        <v>0</v>
      </c>
      <c r="BK268">
        <f t="shared" si="257"/>
        <v>0</v>
      </c>
      <c r="BM268">
        <f t="shared" si="258"/>
        <v>-30.662592883629141</v>
      </c>
      <c r="BN268">
        <f t="shared" si="242"/>
        <v>-168.91102202416261</v>
      </c>
      <c r="BQ268" s="56">
        <f t="shared" si="259"/>
        <v>20.704966572761727</v>
      </c>
      <c r="BR268" s="59"/>
      <c r="BS268" s="59"/>
      <c r="BT268" s="59">
        <v>38018.94</v>
      </c>
      <c r="BU268" s="59">
        <v>-1.18652</v>
      </c>
      <c r="BV268" s="59">
        <v>-144.86799999999999</v>
      </c>
      <c r="BY268" s="59"/>
      <c r="BZ268" s="59"/>
      <c r="CA268" s="59"/>
      <c r="CC268" s="59"/>
    </row>
    <row r="269" spans="1:81" x14ac:dyDescent="0.2">
      <c r="A269">
        <f t="shared" si="211"/>
        <v>275000</v>
      </c>
      <c r="B269">
        <f t="shared" si="243"/>
        <v>275</v>
      </c>
      <c r="C269">
        <f t="shared" si="212"/>
        <v>1.0148179902056651</v>
      </c>
      <c r="D269">
        <f t="shared" si="213"/>
        <v>0.17109820031759845</v>
      </c>
      <c r="F269">
        <f t="shared" si="214"/>
        <v>1.856326586786263E-3</v>
      </c>
      <c r="G269">
        <f t="shared" si="215"/>
        <v>2.5028006072185815E-2</v>
      </c>
      <c r="H269">
        <f t="shared" si="216"/>
        <v>-3.1165646439278145</v>
      </c>
      <c r="J269">
        <f t="shared" si="217"/>
        <v>15</v>
      </c>
      <c r="M269">
        <f t="shared" si="218"/>
        <v>2.9009786880611781E-3</v>
      </c>
      <c r="N269">
        <f t="shared" si="219"/>
        <v>-1.5707963250000001</v>
      </c>
      <c r="O269">
        <f t="shared" si="220"/>
        <v>31.11783933919769</v>
      </c>
      <c r="P269">
        <f t="shared" si="221"/>
        <v>1.5386548857212563</v>
      </c>
      <c r="Q269">
        <f t="shared" si="222"/>
        <v>32.740554628007857</v>
      </c>
      <c r="R269">
        <f t="shared" si="223"/>
        <v>1.5402484158800904</v>
      </c>
      <c r="S269">
        <f t="shared" si="224"/>
        <v>0.99766727366123786</v>
      </c>
      <c r="T269">
        <f t="shared" si="225"/>
        <v>-6.8317403913144475E-2</v>
      </c>
      <c r="U269">
        <f t="shared" si="226"/>
        <v>0.52131744409531866</v>
      </c>
      <c r="V269">
        <f t="shared" si="227"/>
        <v>-1.0224022763764382</v>
      </c>
      <c r="X269">
        <f t="shared" si="244"/>
        <v>-27.242764204971508</v>
      </c>
      <c r="Y269">
        <f t="shared" si="228"/>
        <v>-144.84826558074656</v>
      </c>
      <c r="Z269">
        <f t="shared" si="245"/>
        <v>35.151734419253444</v>
      </c>
      <c r="AC269">
        <v>1</v>
      </c>
      <c r="AD269">
        <f t="shared" si="229"/>
        <v>31.101767235000004</v>
      </c>
      <c r="AE269">
        <f t="shared" si="230"/>
        <v>-5.3739995841117764E-2</v>
      </c>
      <c r="AF269">
        <f t="shared" si="231"/>
        <v>3.2829643192500001E-2</v>
      </c>
      <c r="AG269">
        <f t="shared" si="246"/>
        <v>243.91714214918693</v>
      </c>
      <c r="AH269">
        <f t="shared" si="247"/>
        <v>-429.73681200098036</v>
      </c>
      <c r="AJ269">
        <f t="shared" si="232"/>
        <v>10500</v>
      </c>
      <c r="AK269">
        <f t="shared" si="233"/>
        <v>718.45082312850013</v>
      </c>
      <c r="AL269">
        <v>1</v>
      </c>
      <c r="AM269">
        <f t="shared" si="234"/>
        <v>32.725279484667006</v>
      </c>
      <c r="AN269">
        <f t="shared" si="248"/>
        <v>31.72880915912495</v>
      </c>
      <c r="AO269">
        <f t="shared" si="249"/>
        <v>-319.88332431952625</v>
      </c>
      <c r="AQ269">
        <f t="shared" si="235"/>
        <v>3.3057741957877827E-2</v>
      </c>
      <c r="AR269">
        <f t="shared" si="236"/>
        <v>-18.181758076832804</v>
      </c>
      <c r="AT269">
        <f t="shared" si="209"/>
        <v>-7805.3074025669339</v>
      </c>
      <c r="AU269">
        <f t="shared" si="210"/>
        <v>-4449.048597989884</v>
      </c>
      <c r="AV269">
        <f t="shared" si="250"/>
        <v>-2.6235218644302956</v>
      </c>
      <c r="AW269">
        <f t="shared" si="251"/>
        <v>-5604.2096012722768</v>
      </c>
      <c r="AX269">
        <f t="shared" si="252"/>
        <v>-1382.9103207026114</v>
      </c>
      <c r="AY269">
        <f t="shared" si="260"/>
        <v>-2.8996631022164423</v>
      </c>
      <c r="BA269">
        <f t="shared" si="237"/>
        <v>1.5564393121251698</v>
      </c>
      <c r="BB269">
        <f t="shared" si="253"/>
        <v>3.8426438312670745</v>
      </c>
      <c r="BC269">
        <f t="shared" si="254"/>
        <v>0.27614123778614674</v>
      </c>
      <c r="BD269">
        <f t="shared" si="238"/>
        <v>-164.17827250725634</v>
      </c>
      <c r="BF269">
        <f t="shared" si="239"/>
        <v>-27.13468014011735</v>
      </c>
      <c r="BG269">
        <f t="shared" si="240"/>
        <v>-152.94106861636962</v>
      </c>
      <c r="BH269">
        <f t="shared" si="255"/>
        <v>27.05893138363038</v>
      </c>
      <c r="BI269">
        <f t="shared" si="256"/>
        <v>27.05893138363038</v>
      </c>
      <c r="BJ269">
        <f t="shared" si="241"/>
        <v>0</v>
      </c>
      <c r="BK269">
        <f t="shared" si="257"/>
        <v>0</v>
      </c>
      <c r="BM269">
        <f t="shared" si="258"/>
        <v>-30.977323971384422</v>
      </c>
      <c r="BN269">
        <f t="shared" si="242"/>
        <v>-168.76279610911331</v>
      </c>
      <c r="BQ269" s="56">
        <f t="shared" si="259"/>
        <v>20.74460463155221</v>
      </c>
      <c r="BR269" s="59"/>
      <c r="BS269" s="59"/>
      <c r="BT269" s="59">
        <v>38904.514000000003</v>
      </c>
      <c r="BU269" s="59">
        <v>-1.0515600000000001</v>
      </c>
      <c r="BV269" s="59">
        <v>-144.06</v>
      </c>
      <c r="BY269" s="59"/>
      <c r="BZ269" s="59"/>
      <c r="CA269" s="59"/>
      <c r="CC269" s="59"/>
    </row>
    <row r="270" spans="1:81" x14ac:dyDescent="0.2">
      <c r="A270">
        <f t="shared" si="211"/>
        <v>280000</v>
      </c>
      <c r="B270">
        <f t="shared" si="243"/>
        <v>280</v>
      </c>
      <c r="C270">
        <f t="shared" si="212"/>
        <v>1.0153576115492919</v>
      </c>
      <c r="D270">
        <f t="shared" si="213"/>
        <v>0.17414710156968102</v>
      </c>
      <c r="F270">
        <f t="shared" si="214"/>
        <v>1.7905210312922316E-3</v>
      </c>
      <c r="G270">
        <f t="shared" si="215"/>
        <v>2.4579611872793828E-2</v>
      </c>
      <c r="H270">
        <f t="shared" si="216"/>
        <v>-3.1170130381272063</v>
      </c>
      <c r="J270">
        <f t="shared" si="217"/>
        <v>15</v>
      </c>
      <c r="M270">
        <f t="shared" si="218"/>
        <v>2.8491754972029427E-3</v>
      </c>
      <c r="N270">
        <f t="shared" si="219"/>
        <v>-1.5707963250000001</v>
      </c>
      <c r="O270">
        <f t="shared" si="220"/>
        <v>31.683039158626798</v>
      </c>
      <c r="P270">
        <f t="shared" si="221"/>
        <v>1.5392284553314808</v>
      </c>
      <c r="Q270">
        <f t="shared" si="222"/>
        <v>33.335287063005353</v>
      </c>
      <c r="R270">
        <f t="shared" si="223"/>
        <v>1.5407935840167721</v>
      </c>
      <c r="S270">
        <f t="shared" si="224"/>
        <v>0.99758198631800621</v>
      </c>
      <c r="T270">
        <f t="shared" si="225"/>
        <v>-6.9555571679756387E-2</v>
      </c>
      <c r="U270">
        <f t="shared" si="226"/>
        <v>0.51448873998201983</v>
      </c>
      <c r="V270">
        <f t="shared" si="227"/>
        <v>-1.0303850078492864</v>
      </c>
      <c r="X270">
        <f t="shared" si="244"/>
        <v>-27.510711573781869</v>
      </c>
      <c r="Y270">
        <f t="shared" si="228"/>
        <v>-145.16348716085031</v>
      </c>
      <c r="Z270">
        <f t="shared" si="245"/>
        <v>34.836512839149691</v>
      </c>
      <c r="AC270">
        <v>1</v>
      </c>
      <c r="AD270">
        <f t="shared" si="229"/>
        <v>31.667253912000003</v>
      </c>
      <c r="AE270">
        <f t="shared" si="230"/>
        <v>-5.5711942795948856E-2</v>
      </c>
      <c r="AF270">
        <f t="shared" si="231"/>
        <v>3.3426545795999997E-2</v>
      </c>
      <c r="AG270">
        <f t="shared" si="246"/>
        <v>237.568883645775</v>
      </c>
      <c r="AH270">
        <f t="shared" si="247"/>
        <v>-425.87182482595421</v>
      </c>
      <c r="AJ270">
        <f t="shared" si="232"/>
        <v>10500</v>
      </c>
      <c r="AK270">
        <f t="shared" si="233"/>
        <v>731.51356536720004</v>
      </c>
      <c r="AL270">
        <v>1</v>
      </c>
      <c r="AM270">
        <f t="shared" si="234"/>
        <v>33.320284566206404</v>
      </c>
      <c r="AN270">
        <f t="shared" si="248"/>
        <v>31.383137188076084</v>
      </c>
      <c r="AO270">
        <f t="shared" si="249"/>
        <v>-314.18149631978969</v>
      </c>
      <c r="AQ270">
        <f t="shared" si="235"/>
        <v>3.1887653419472514E-2</v>
      </c>
      <c r="AR270">
        <f t="shared" si="236"/>
        <v>-17.857085914904609</v>
      </c>
      <c r="AT270">
        <f t="shared" si="209"/>
        <v>-7597.2542504293224</v>
      </c>
      <c r="AU270">
        <f t="shared" si="210"/>
        <v>-4255.8680191217491</v>
      </c>
      <c r="AV270">
        <f t="shared" si="250"/>
        <v>-2.6309634937199617</v>
      </c>
      <c r="AW270">
        <f t="shared" si="251"/>
        <v>-5403.5859123686423</v>
      </c>
      <c r="AX270">
        <f t="shared" si="252"/>
        <v>-1354.4856794808634</v>
      </c>
      <c r="AY270">
        <f t="shared" si="260"/>
        <v>-2.8959889345021099</v>
      </c>
      <c r="BA270">
        <f t="shared" si="237"/>
        <v>1.5631764513593596</v>
      </c>
      <c r="BB270">
        <f t="shared" si="253"/>
        <v>3.880160078956095</v>
      </c>
      <c r="BC270">
        <f t="shared" si="254"/>
        <v>0.26502544078214818</v>
      </c>
      <c r="BD270">
        <f t="shared" si="238"/>
        <v>-164.81516076223738</v>
      </c>
      <c r="BF270">
        <f t="shared" si="239"/>
        <v>-27.406045632328638</v>
      </c>
      <c r="BG270">
        <f t="shared" si="240"/>
        <v>-153.4289587924672</v>
      </c>
      <c r="BH270">
        <f t="shared" si="255"/>
        <v>26.571041207532801</v>
      </c>
      <c r="BI270">
        <f t="shared" si="256"/>
        <v>26.571041207532801</v>
      </c>
      <c r="BJ270">
        <f t="shared" si="241"/>
        <v>0</v>
      </c>
      <c r="BK270">
        <f t="shared" si="257"/>
        <v>0</v>
      </c>
      <c r="BM270">
        <f t="shared" si="258"/>
        <v>-31.28620571128473</v>
      </c>
      <c r="BN270">
        <f t="shared" si="242"/>
        <v>-168.61379803022982</v>
      </c>
      <c r="BQ270" s="56">
        <f t="shared" si="259"/>
        <v>20.782120879241234</v>
      </c>
      <c r="BR270" s="59"/>
      <c r="BS270" s="59"/>
      <c r="BT270" s="59">
        <v>39810.716999999997</v>
      </c>
      <c r="BU270" s="59">
        <v>-0.92721699999999996</v>
      </c>
      <c r="BV270" s="59">
        <v>-143.22999999999999</v>
      </c>
      <c r="BY270" s="59"/>
      <c r="BZ270" s="59"/>
      <c r="CA270" s="59"/>
      <c r="CC270" s="59"/>
    </row>
    <row r="271" spans="1:81" x14ac:dyDescent="0.2">
      <c r="A271">
        <f t="shared" si="211"/>
        <v>285000</v>
      </c>
      <c r="B271">
        <f t="shared" si="243"/>
        <v>285</v>
      </c>
      <c r="C271">
        <f t="shared" si="212"/>
        <v>1.0159066613748811</v>
      </c>
      <c r="D271">
        <f t="shared" si="213"/>
        <v>0.17719273553227172</v>
      </c>
      <c r="F271">
        <f t="shared" si="214"/>
        <v>1.7281552440645603E-3</v>
      </c>
      <c r="G271">
        <f t="shared" si="215"/>
        <v>2.4147026054193273E-2</v>
      </c>
      <c r="H271">
        <f t="shared" si="216"/>
        <v>-3.117445623945807</v>
      </c>
      <c r="J271">
        <f t="shared" si="217"/>
        <v>15</v>
      </c>
      <c r="M271">
        <f t="shared" si="218"/>
        <v>2.799189962164295E-3</v>
      </c>
      <c r="N271">
        <f t="shared" si="219"/>
        <v>-1.5707963250000001</v>
      </c>
      <c r="O271">
        <f t="shared" si="220"/>
        <v>32.248249035843294</v>
      </c>
      <c r="P271">
        <f t="shared" si="221"/>
        <v>1.5397819193937796</v>
      </c>
      <c r="Q271">
        <f t="shared" si="222"/>
        <v>33.930029058202905</v>
      </c>
      <c r="R271">
        <f t="shared" si="223"/>
        <v>1.5413196403625817</v>
      </c>
      <c r="S271">
        <f t="shared" si="224"/>
        <v>0.99749518472951304</v>
      </c>
      <c r="T271">
        <f t="shared" si="225"/>
        <v>-7.0793525873083171E-2</v>
      </c>
      <c r="U271">
        <f t="shared" si="226"/>
        <v>0.50780550640347666</v>
      </c>
      <c r="V271">
        <f t="shared" si="227"/>
        <v>-1.0381608320444728</v>
      </c>
      <c r="X271">
        <f t="shared" si="244"/>
        <v>-27.774824459652407</v>
      </c>
      <c r="Y271">
        <f t="shared" si="228"/>
        <v>-145.46837002672879</v>
      </c>
      <c r="Z271">
        <f t="shared" si="245"/>
        <v>34.531629973271208</v>
      </c>
      <c r="AC271">
        <v>1</v>
      </c>
      <c r="AD271">
        <f t="shared" si="229"/>
        <v>32.232740589000002</v>
      </c>
      <c r="AE271">
        <f t="shared" si="230"/>
        <v>-5.7719420326542689E-2</v>
      </c>
      <c r="AF271">
        <f t="shared" si="231"/>
        <v>3.40234483995E-2</v>
      </c>
      <c r="AG271">
        <f t="shared" si="246"/>
        <v>231.43690879810512</v>
      </c>
      <c r="AH271">
        <f t="shared" si="247"/>
        <v>-422.01496007690281</v>
      </c>
      <c r="AJ271">
        <f t="shared" si="232"/>
        <v>10500</v>
      </c>
      <c r="AK271">
        <f t="shared" si="233"/>
        <v>744.57630760590007</v>
      </c>
      <c r="AL271">
        <v>1</v>
      </c>
      <c r="AM271">
        <f t="shared" si="234"/>
        <v>33.915289647745801</v>
      </c>
      <c r="AN271">
        <f t="shared" si="248"/>
        <v>31.055477335276485</v>
      </c>
      <c r="AO271">
        <f t="shared" si="249"/>
        <v>-308.67920136900693</v>
      </c>
      <c r="AQ271">
        <f t="shared" si="235"/>
        <v>3.0778606406259137E-2</v>
      </c>
      <c r="AR271">
        <f t="shared" si="236"/>
        <v>-17.543805651567709</v>
      </c>
      <c r="AT271">
        <f t="shared" si="209"/>
        <v>-7396.6251361195109</v>
      </c>
      <c r="AU271">
        <f t="shared" si="210"/>
        <v>-4073.2731809073171</v>
      </c>
      <c r="AV271">
        <f t="shared" si="250"/>
        <v>-2.6382171820754952</v>
      </c>
      <c r="AW271">
        <f t="shared" si="251"/>
        <v>-5213.4996156352408</v>
      </c>
      <c r="AX271">
        <f t="shared" si="252"/>
        <v>-1327.2989539788646</v>
      </c>
      <c r="AY271">
        <f t="shared" si="260"/>
        <v>-2.8922997429795672</v>
      </c>
      <c r="BA271">
        <f t="shared" si="237"/>
        <v>1.5695789508415223</v>
      </c>
      <c r="BB271">
        <f t="shared" si="253"/>
        <v>3.9156633176049214</v>
      </c>
      <c r="BC271">
        <f t="shared" si="254"/>
        <v>0.254082560904072</v>
      </c>
      <c r="BD271">
        <f t="shared" si="238"/>
        <v>-165.44214159568619</v>
      </c>
      <c r="BF271">
        <f t="shared" si="239"/>
        <v>-27.673780269721718</v>
      </c>
      <c r="BG271">
        <f t="shared" si="240"/>
        <v>-153.90622299542983</v>
      </c>
      <c r="BH271">
        <f t="shared" si="255"/>
        <v>26.093777004570171</v>
      </c>
      <c r="BI271">
        <f t="shared" si="256"/>
        <v>26.093777004570171</v>
      </c>
      <c r="BJ271">
        <f t="shared" si="241"/>
        <v>0</v>
      </c>
      <c r="BK271">
        <f t="shared" si="257"/>
        <v>0</v>
      </c>
      <c r="BM271">
        <f t="shared" si="258"/>
        <v>-31.589443587326645</v>
      </c>
      <c r="BN271">
        <f t="shared" si="242"/>
        <v>-168.46408139974363</v>
      </c>
      <c r="BQ271" s="56">
        <f t="shared" si="259"/>
        <v>20.817624117890059</v>
      </c>
      <c r="BR271" s="59"/>
      <c r="BS271" s="59"/>
      <c r="BT271" s="59">
        <v>40738.027999999998</v>
      </c>
      <c r="BU271" s="59">
        <v>-0.80365399999999998</v>
      </c>
      <c r="BV271" s="59">
        <v>-142.31399999999999</v>
      </c>
      <c r="BY271" s="59"/>
      <c r="BZ271" s="59"/>
      <c r="CA271" s="59"/>
      <c r="CC271" s="59"/>
    </row>
    <row r="272" spans="1:81" x14ac:dyDescent="0.2">
      <c r="A272">
        <f t="shared" si="211"/>
        <v>290000</v>
      </c>
      <c r="B272">
        <f t="shared" si="243"/>
        <v>290</v>
      </c>
      <c r="C272">
        <f t="shared" si="212"/>
        <v>1.0164651244038767</v>
      </c>
      <c r="D272">
        <f t="shared" si="213"/>
        <v>0.18023505104438595</v>
      </c>
      <c r="F272">
        <f t="shared" si="214"/>
        <v>1.6689934907454605E-3</v>
      </c>
      <c r="G272">
        <f t="shared" si="215"/>
        <v>2.3729425874166231E-2</v>
      </c>
      <c r="H272">
        <f t="shared" si="216"/>
        <v>-3.1178632241258342</v>
      </c>
      <c r="J272">
        <f t="shared" si="217"/>
        <v>15</v>
      </c>
      <c r="M272">
        <f t="shared" si="218"/>
        <v>2.7509280662649108E-3</v>
      </c>
      <c r="N272">
        <f t="shared" si="219"/>
        <v>-1.5707963250000001</v>
      </c>
      <c r="O272">
        <f t="shared" si="220"/>
        <v>32.813468451112961</v>
      </c>
      <c r="P272">
        <f t="shared" si="221"/>
        <v>1.5403163165278166</v>
      </c>
      <c r="Q272">
        <f t="shared" si="222"/>
        <v>34.524780119533418</v>
      </c>
      <c r="R272">
        <f t="shared" si="223"/>
        <v>1.5418275723228547</v>
      </c>
      <c r="S272">
        <f t="shared" si="224"/>
        <v>0.99740687008904449</v>
      </c>
      <c r="T272">
        <f t="shared" si="225"/>
        <v>-7.2031262754967226E-2</v>
      </c>
      <c r="U272">
        <f t="shared" si="226"/>
        <v>0.5012645261423252</v>
      </c>
      <c r="V272">
        <f t="shared" si="227"/>
        <v>-1.0457367856744955</v>
      </c>
      <c r="X272">
        <f t="shared" si="244"/>
        <v>-28.035199901102654</v>
      </c>
      <c r="Y272">
        <f t="shared" si="228"/>
        <v>-145.76325112641297</v>
      </c>
      <c r="Z272">
        <f t="shared" si="245"/>
        <v>34.236748873587032</v>
      </c>
      <c r="AC272">
        <v>1</v>
      </c>
      <c r="AD272">
        <f t="shared" si="229"/>
        <v>32.798227265999998</v>
      </c>
      <c r="AE272">
        <f t="shared" si="230"/>
        <v>-5.976242843289923E-2</v>
      </c>
      <c r="AF272">
        <f t="shared" si="231"/>
        <v>3.4620351002999997E-2</v>
      </c>
      <c r="AG272">
        <f t="shared" si="246"/>
        <v>225.51308740901791</v>
      </c>
      <c r="AH272">
        <f t="shared" si="247"/>
        <v>-418.17050744832341</v>
      </c>
      <c r="AJ272">
        <f t="shared" si="232"/>
        <v>10500</v>
      </c>
      <c r="AK272">
        <f t="shared" si="233"/>
        <v>757.63904984460009</v>
      </c>
      <c r="AL272">
        <v>1</v>
      </c>
      <c r="AM272">
        <f t="shared" si="234"/>
        <v>34.510294729285206</v>
      </c>
      <c r="AN272">
        <f t="shared" si="248"/>
        <v>30.744599911197284</v>
      </c>
      <c r="AO272">
        <f t="shared" si="249"/>
        <v>-303.36615442477409</v>
      </c>
      <c r="AQ272">
        <f t="shared" si="235"/>
        <v>2.9726427686005689E-2</v>
      </c>
      <c r="AR272">
        <f t="shared" si="236"/>
        <v>-17.241328057883301</v>
      </c>
      <c r="AT272">
        <f t="shared" si="209"/>
        <v>-7203.1112045629643</v>
      </c>
      <c r="AU272">
        <f t="shared" si="210"/>
        <v>-3900.5758367150725</v>
      </c>
      <c r="AV272">
        <f t="shared" si="250"/>
        <v>-2.6452889865138554</v>
      </c>
      <c r="AW272">
        <f t="shared" si="251"/>
        <v>-5033.2265101954681</v>
      </c>
      <c r="AX272">
        <f t="shared" si="252"/>
        <v>-1301.2671485252556</v>
      </c>
      <c r="AY272">
        <f t="shared" si="260"/>
        <v>-2.8885969607980337</v>
      </c>
      <c r="BA272">
        <f t="shared" si="237"/>
        <v>1.5756609519404008</v>
      </c>
      <c r="BB272">
        <f t="shared" si="253"/>
        <v>3.9492554490809346</v>
      </c>
      <c r="BC272">
        <f t="shared" si="254"/>
        <v>0.24330797428417839</v>
      </c>
      <c r="BD272">
        <f t="shared" si="238"/>
        <v>-166.05947993570965</v>
      </c>
      <c r="BF272">
        <f t="shared" si="239"/>
        <v>-27.937976866131375</v>
      </c>
      <c r="BG272">
        <f t="shared" si="240"/>
        <v>-154.37317622432957</v>
      </c>
      <c r="BH272">
        <f t="shared" si="255"/>
        <v>25.626823775670431</v>
      </c>
      <c r="BI272">
        <f t="shared" si="256"/>
        <v>25.626823775670431</v>
      </c>
      <c r="BJ272">
        <f t="shared" si="241"/>
        <v>0</v>
      </c>
      <c r="BK272">
        <f t="shared" si="257"/>
        <v>0</v>
      </c>
      <c r="BM272">
        <f t="shared" si="258"/>
        <v>-31.887232315212309</v>
      </c>
      <c r="BN272">
        <f t="shared" si="242"/>
        <v>-168.31369628861992</v>
      </c>
      <c r="BQ272" s="56">
        <f t="shared" si="259"/>
        <v>20.851216249366068</v>
      </c>
      <c r="BR272" s="59"/>
      <c r="BS272" s="59"/>
      <c r="BT272" s="59">
        <v>41686.938000000002</v>
      </c>
      <c r="BU272" s="59">
        <v>-0.666377</v>
      </c>
      <c r="BV272" s="59">
        <v>-141.465</v>
      </c>
      <c r="BY272" s="59"/>
      <c r="BZ272" s="59"/>
      <c r="CA272" s="59"/>
      <c r="CC272" s="59"/>
    </row>
    <row r="273" spans="1:81" x14ac:dyDescent="0.2">
      <c r="A273">
        <f t="shared" si="211"/>
        <v>295000</v>
      </c>
      <c r="B273">
        <f t="shared" si="243"/>
        <v>295</v>
      </c>
      <c r="C273">
        <f t="shared" si="212"/>
        <v>1.0170329851296254</v>
      </c>
      <c r="D273">
        <f t="shared" si="213"/>
        <v>0.18327399730217389</v>
      </c>
      <c r="F273">
        <f t="shared" si="214"/>
        <v>1.6128198993957787E-3</v>
      </c>
      <c r="G273">
        <f t="shared" si="215"/>
        <v>2.3326044789273376E-2</v>
      </c>
      <c r="H273">
        <f t="shared" si="216"/>
        <v>-3.1182666052107266</v>
      </c>
      <c r="J273">
        <f t="shared" si="217"/>
        <v>15</v>
      </c>
      <c r="M273">
        <f t="shared" si="218"/>
        <v>2.7043021668366916E-3</v>
      </c>
      <c r="N273">
        <f t="shared" si="219"/>
        <v>-1.5707963250000001</v>
      </c>
      <c r="O273">
        <f t="shared" si="220"/>
        <v>33.378696919896868</v>
      </c>
      <c r="P273">
        <f t="shared" si="221"/>
        <v>1.5408326150474743</v>
      </c>
      <c r="Q273">
        <f t="shared" si="222"/>
        <v>35.119539786390732</v>
      </c>
      <c r="R273">
        <f t="shared" si="223"/>
        <v>1.542318300453893</v>
      </c>
      <c r="S273">
        <f t="shared" si="224"/>
        <v>0.99731704361011886</v>
      </c>
      <c r="T273">
        <f t="shared" si="225"/>
        <v>-7.3268778591226602E-2</v>
      </c>
      <c r="U273">
        <f t="shared" si="226"/>
        <v>0.49486258270911143</v>
      </c>
      <c r="V273">
        <f t="shared" si="227"/>
        <v>-1.0531196401880381</v>
      </c>
      <c r="X273">
        <f t="shared" si="244"/>
        <v>-28.291931207713972</v>
      </c>
      <c r="Y273">
        <f t="shared" si="228"/>
        <v>-146.04845682764153</v>
      </c>
      <c r="Z273">
        <f t="shared" si="245"/>
        <v>33.95154317235847</v>
      </c>
      <c r="AC273">
        <v>1</v>
      </c>
      <c r="AD273">
        <f t="shared" si="229"/>
        <v>33.363713943000008</v>
      </c>
      <c r="AE273">
        <f t="shared" si="230"/>
        <v>-6.1840967115018491E-2</v>
      </c>
      <c r="AF273">
        <f t="shared" si="231"/>
        <v>3.52172536065E-2</v>
      </c>
      <c r="AG273">
        <f t="shared" si="246"/>
        <v>219.78955165659943</v>
      </c>
      <c r="AH273">
        <f t="shared" si="247"/>
        <v>-414.34231639025933</v>
      </c>
      <c r="AJ273">
        <f t="shared" si="232"/>
        <v>10500</v>
      </c>
      <c r="AK273">
        <f t="shared" si="233"/>
        <v>770.70179208330001</v>
      </c>
      <c r="AL273">
        <v>1</v>
      </c>
      <c r="AM273">
        <f t="shared" si="234"/>
        <v>35.105299810824604</v>
      </c>
      <c r="AN273">
        <f t="shared" si="248"/>
        <v>30.449378374234868</v>
      </c>
      <c r="AO273">
        <f t="shared" si="249"/>
        <v>-298.23276479745419</v>
      </c>
      <c r="AQ273">
        <f t="shared" si="235"/>
        <v>2.8727294664479562E-2</v>
      </c>
      <c r="AR273">
        <f t="shared" si="236"/>
        <v>-16.949103852042942</v>
      </c>
      <c r="AT273">
        <f t="shared" si="209"/>
        <v>-7016.4169915799275</v>
      </c>
      <c r="AU273">
        <f t="shared" si="210"/>
        <v>-3737.1388704365668</v>
      </c>
      <c r="AV273">
        <f t="shared" si="250"/>
        <v>-2.6521847650991326</v>
      </c>
      <c r="AW273">
        <f t="shared" si="251"/>
        <v>-4862.1034440224839</v>
      </c>
      <c r="AX273">
        <f t="shared" si="252"/>
        <v>-1276.3146338118918</v>
      </c>
      <c r="AY273">
        <f t="shared" si="260"/>
        <v>-2.8848819218808002</v>
      </c>
      <c r="BA273">
        <f t="shared" si="237"/>
        <v>1.5814359197070236</v>
      </c>
      <c r="BB273">
        <f t="shared" si="253"/>
        <v>3.9810319771187364</v>
      </c>
      <c r="BC273">
        <f t="shared" si="254"/>
        <v>0.23269715678166758</v>
      </c>
      <c r="BD273">
        <f t="shared" si="238"/>
        <v>-166.66743499648175</v>
      </c>
      <c r="BF273">
        <f t="shared" si="239"/>
        <v>-28.198724607099138</v>
      </c>
      <c r="BG273">
        <f t="shared" si="240"/>
        <v>-154.83012452389053</v>
      </c>
      <c r="BH273">
        <f t="shared" si="255"/>
        <v>25.169875476109468</v>
      </c>
      <c r="BI273">
        <f t="shared" si="256"/>
        <v>25.169875476109468</v>
      </c>
      <c r="BJ273">
        <f t="shared" si="241"/>
        <v>0</v>
      </c>
      <c r="BK273">
        <f t="shared" si="257"/>
        <v>0</v>
      </c>
      <c r="BM273">
        <f t="shared" si="258"/>
        <v>-32.179756584217877</v>
      </c>
      <c r="BN273">
        <f t="shared" si="242"/>
        <v>-168.16268952740879</v>
      </c>
      <c r="BQ273" s="56">
        <f t="shared" si="259"/>
        <v>20.882992777403871</v>
      </c>
      <c r="BR273" s="59"/>
      <c r="BS273" s="59"/>
      <c r="BT273" s="59">
        <v>42657.951999999997</v>
      </c>
      <c r="BU273" s="59">
        <v>-0.55182299999999995</v>
      </c>
      <c r="BV273" s="59">
        <v>-140.39099999999999</v>
      </c>
      <c r="BY273" s="59"/>
      <c r="BZ273" s="59"/>
      <c r="CA273" s="59"/>
      <c r="CC273" s="59"/>
    </row>
    <row r="274" spans="1:81" x14ac:dyDescent="0.2">
      <c r="A274">
        <f t="shared" si="211"/>
        <v>300000</v>
      </c>
      <c r="B274">
        <f t="shared" si="243"/>
        <v>300</v>
      </c>
      <c r="C274">
        <f t="shared" si="212"/>
        <v>1.017610227819435</v>
      </c>
      <c r="D274">
        <f t="shared" si="213"/>
        <v>0.18630952386316746</v>
      </c>
      <c r="F274">
        <f t="shared" si="214"/>
        <v>1.5594364847012392E-3</v>
      </c>
      <c r="G274">
        <f t="shared" si="215"/>
        <v>2.2936167730583341E-2</v>
      </c>
      <c r="H274">
        <f t="shared" si="216"/>
        <v>-3.1186564822694169</v>
      </c>
      <c r="J274">
        <f t="shared" si="217"/>
        <v>15</v>
      </c>
      <c r="M274">
        <f t="shared" si="218"/>
        <v>2.6592304640560803E-3</v>
      </c>
      <c r="N274">
        <f t="shared" si="219"/>
        <v>-1.5707963250000001</v>
      </c>
      <c r="O274">
        <f t="shared" si="220"/>
        <v>33.943933989922385</v>
      </c>
      <c r="P274">
        <f t="shared" si="221"/>
        <v>1.5413317188090441</v>
      </c>
      <c r="Q274">
        <f t="shared" si="222"/>
        <v>35.714307628844622</v>
      </c>
      <c r="R274">
        <f t="shared" si="223"/>
        <v>1.5427926840245922</v>
      </c>
      <c r="S274">
        <f t="shared" si="224"/>
        <v>0.99722570652643838</v>
      </c>
      <c r="T274">
        <f t="shared" si="225"/>
        <v>-7.4506069651721143E-2</v>
      </c>
      <c r="U274">
        <f t="shared" si="226"/>
        <v>0.48859647121485655</v>
      </c>
      <c r="V274">
        <f t="shared" si="227"/>
        <v>-1.0603159104989328</v>
      </c>
      <c r="X274">
        <f t="shared" si="244"/>
        <v>-28.545108175758671</v>
      </c>
      <c r="Y274">
        <f t="shared" si="228"/>
        <v>-146.32430303470056</v>
      </c>
      <c r="Z274">
        <f t="shared" si="245"/>
        <v>33.675696965299437</v>
      </c>
      <c r="AC274">
        <v>1</v>
      </c>
      <c r="AD274">
        <f t="shared" si="229"/>
        <v>33.929200620000003</v>
      </c>
      <c r="AE274">
        <f t="shared" si="230"/>
        <v>-6.3955036372900481E-2</v>
      </c>
      <c r="AF274">
        <f t="shared" si="231"/>
        <v>3.5814156209999996E-2</v>
      </c>
      <c r="AG274">
        <f t="shared" si="246"/>
        <v>214.2586974667303</v>
      </c>
      <c r="AH274">
        <f t="shared" si="247"/>
        <v>-410.53383202672467</v>
      </c>
      <c r="AJ274">
        <f t="shared" si="232"/>
        <v>10500</v>
      </c>
      <c r="AK274">
        <f t="shared" si="233"/>
        <v>783.76453432200015</v>
      </c>
      <c r="AL274">
        <v>1</v>
      </c>
      <c r="AM274">
        <f t="shared" si="234"/>
        <v>35.700304892364002</v>
      </c>
      <c r="AN274">
        <f t="shared" si="248"/>
        <v>30.168779122269161</v>
      </c>
      <c r="AO274">
        <f t="shared" si="249"/>
        <v>-293.27007857339447</v>
      </c>
      <c r="AQ274">
        <f t="shared" si="235"/>
        <v>2.7777700617498284E-2</v>
      </c>
      <c r="AR274">
        <f t="shared" si="236"/>
        <v>-16.666620370498972</v>
      </c>
      <c r="AT274">
        <f t="shared" si="209"/>
        <v>-6836.2599136826866</v>
      </c>
      <c r="AU274">
        <f t="shared" si="210"/>
        <v>-3582.372057634976</v>
      </c>
      <c r="AV274">
        <f t="shared" si="250"/>
        <v>-2.6589101801562229</v>
      </c>
      <c r="AW274">
        <f t="shared" si="251"/>
        <v>-4699.5222526340249</v>
      </c>
      <c r="AX274">
        <f t="shared" si="252"/>
        <v>-1252.3723524859633</v>
      </c>
      <c r="AY274">
        <f t="shared" si="260"/>
        <v>-2.8811558689734977</v>
      </c>
      <c r="BA274">
        <f t="shared" si="237"/>
        <v>1.586916674243888</v>
      </c>
      <c r="BB274">
        <f t="shared" si="253"/>
        <v>4.0110824687309901</v>
      </c>
      <c r="BC274">
        <f t="shared" si="254"/>
        <v>0.2222456888172748</v>
      </c>
      <c r="BD274">
        <f t="shared" si="238"/>
        <v>-167.2662600012419</v>
      </c>
      <c r="BF274">
        <f t="shared" si="239"/>
        <v>-28.456109267455826</v>
      </c>
      <c r="BG274">
        <f t="shared" si="240"/>
        <v>-155.27736497792461</v>
      </c>
      <c r="BH274">
        <f t="shared" si="255"/>
        <v>24.722635022075394</v>
      </c>
      <c r="BI274">
        <f t="shared" si="256"/>
        <v>24.722635022075394</v>
      </c>
      <c r="BJ274">
        <f t="shared" si="241"/>
        <v>0</v>
      </c>
      <c r="BK274">
        <f t="shared" si="257"/>
        <v>0</v>
      </c>
      <c r="BM274">
        <f t="shared" si="258"/>
        <v>-32.467191736186813</v>
      </c>
      <c r="BN274">
        <f t="shared" si="242"/>
        <v>-168.0111049766827</v>
      </c>
      <c r="BQ274" s="56">
        <f t="shared" si="259"/>
        <v>20.913043269016125</v>
      </c>
      <c r="BR274" s="59"/>
      <c r="BS274" s="59"/>
      <c r="BT274" s="59">
        <v>43651.582999999999</v>
      </c>
      <c r="BU274" s="59">
        <v>-0.43071199999999998</v>
      </c>
      <c r="BV274" s="59">
        <v>-139.065</v>
      </c>
      <c r="BY274" s="59"/>
      <c r="BZ274" s="59"/>
      <c r="CA274" s="59"/>
      <c r="CC274" s="59"/>
    </row>
    <row r="275" spans="1:81" x14ac:dyDescent="0.2">
      <c r="A275">
        <f t="shared" si="211"/>
        <v>305000</v>
      </c>
      <c r="B275">
        <f t="shared" si="243"/>
        <v>305</v>
      </c>
      <c r="C275">
        <f t="shared" si="212"/>
        <v>1.0181968365166556</v>
      </c>
      <c r="D275">
        <f t="shared" si="213"/>
        <v>0.18934158065043522</v>
      </c>
      <c r="F275">
        <f t="shared" si="214"/>
        <v>1.508661397824229E-3</v>
      </c>
      <c r="G275">
        <f t="shared" si="215"/>
        <v>2.2559126848693389E-2</v>
      </c>
      <c r="H275">
        <f t="shared" si="216"/>
        <v>-3.1190335231513067</v>
      </c>
      <c r="J275">
        <f t="shared" si="217"/>
        <v>15</v>
      </c>
      <c r="M275">
        <f t="shared" si="218"/>
        <v>2.6156365220223739E-3</v>
      </c>
      <c r="N275">
        <f t="shared" si="219"/>
        <v>-1.5707963250000001</v>
      </c>
      <c r="O275">
        <f t="shared" si="220"/>
        <v>34.509179238541925</v>
      </c>
      <c r="P275">
        <f t="shared" si="221"/>
        <v>1.5418144724853713</v>
      </c>
      <c r="Q275">
        <f t="shared" si="222"/>
        <v>36.309083245129337</v>
      </c>
      <c r="R275">
        <f t="shared" si="223"/>
        <v>1.5432515260320436</v>
      </c>
      <c r="S275">
        <f t="shared" si="224"/>
        <v>0.99713286009184365</v>
      </c>
      <c r="T275">
        <f t="shared" si="225"/>
        <v>-7.574313221041841E-2</v>
      </c>
      <c r="U275">
        <f t="shared" si="226"/>
        <v>0.48246300774413542</v>
      </c>
      <c r="V275">
        <f t="shared" si="227"/>
        <v>-1.0673318637294185</v>
      </c>
      <c r="X275">
        <f t="shared" si="244"/>
        <v>-28.794817285202257</v>
      </c>
      <c r="Y275">
        <f t="shared" si="228"/>
        <v>-146.59109534337395</v>
      </c>
      <c r="Z275">
        <f t="shared" si="245"/>
        <v>33.408904656626049</v>
      </c>
      <c r="AC275">
        <v>1</v>
      </c>
      <c r="AD275">
        <f t="shared" si="229"/>
        <v>34.494687297000006</v>
      </c>
      <c r="AE275">
        <f t="shared" si="230"/>
        <v>-6.6104636206545192E-2</v>
      </c>
      <c r="AF275">
        <f t="shared" si="231"/>
        <v>3.64110588135E-2</v>
      </c>
      <c r="AG275">
        <f t="shared" si="246"/>
        <v>208.91318405720696</v>
      </c>
      <c r="AH275">
        <f t="shared" si="247"/>
        <v>-406.74812854828554</v>
      </c>
      <c r="AJ275">
        <f t="shared" si="232"/>
        <v>10500</v>
      </c>
      <c r="AK275">
        <f t="shared" si="233"/>
        <v>796.82727656070006</v>
      </c>
      <c r="AL275">
        <v>1</v>
      </c>
      <c r="AM275">
        <f t="shared" si="234"/>
        <v>36.295309973903407</v>
      </c>
      <c r="AN275">
        <f t="shared" si="248"/>
        <v>29.901852443484614</v>
      </c>
      <c r="AO275">
        <f t="shared" si="249"/>
        <v>-288.46972666949506</v>
      </c>
      <c r="AQ275">
        <f t="shared" si="235"/>
        <v>2.6874423879538083E-2</v>
      </c>
      <c r="AR275">
        <f t="shared" si="236"/>
        <v>-16.393398566518229</v>
      </c>
      <c r="AT275">
        <f t="shared" si="209"/>
        <v>-6662.3697660150592</v>
      </c>
      <c r="AU275">
        <f t="shared" si="210"/>
        <v>-3435.728213668991</v>
      </c>
      <c r="AV275">
        <f t="shared" si="250"/>
        <v>-2.6654707020400945</v>
      </c>
      <c r="AW275">
        <f t="shared" si="251"/>
        <v>-4544.9243872408024</v>
      </c>
      <c r="AX275">
        <f t="shared" si="252"/>
        <v>-1229.3771237240467</v>
      </c>
      <c r="AY275">
        <f t="shared" si="260"/>
        <v>-2.8774199609613573</v>
      </c>
      <c r="BA275">
        <f t="shared" si="237"/>
        <v>1.5921154211703212</v>
      </c>
      <c r="BB275">
        <f t="shared" si="253"/>
        <v>4.0394909785900275</v>
      </c>
      <c r="BC275">
        <f t="shared" si="254"/>
        <v>0.21194925892126282</v>
      </c>
      <c r="BD275">
        <f t="shared" si="238"/>
        <v>-167.85620197900982</v>
      </c>
      <c r="BF275">
        <f t="shared" si="239"/>
        <v>-28.710213409353447</v>
      </c>
      <c r="BG275">
        <f t="shared" si="240"/>
        <v>-155.71518574960047</v>
      </c>
      <c r="BH275">
        <f t="shared" si="255"/>
        <v>24.284814250399535</v>
      </c>
      <c r="BI275">
        <f t="shared" si="256"/>
        <v>24.284814250399535</v>
      </c>
      <c r="BJ275">
        <f t="shared" si="241"/>
        <v>0</v>
      </c>
      <c r="BK275">
        <f t="shared" si="257"/>
        <v>0</v>
      </c>
      <c r="BM275">
        <f t="shared" si="258"/>
        <v>-32.749704387943474</v>
      </c>
      <c r="BN275">
        <f t="shared" si="242"/>
        <v>-167.85898377059064</v>
      </c>
      <c r="BQ275" s="56">
        <f t="shared" si="259"/>
        <v>20.941451778875162</v>
      </c>
      <c r="BR275" s="59"/>
      <c r="BS275" s="59"/>
      <c r="BT275" s="59">
        <v>44668.358999999997</v>
      </c>
      <c r="BU275" s="59">
        <v>-0.21105299999999999</v>
      </c>
      <c r="BV275" s="59">
        <v>-136.58699999999999</v>
      </c>
      <c r="BY275" s="59"/>
      <c r="BZ275" s="59"/>
      <c r="CA275" s="59"/>
      <c r="CC275" s="59"/>
    </row>
    <row r="276" spans="1:81" x14ac:dyDescent="0.2">
      <c r="A276">
        <f t="shared" si="211"/>
        <v>310000</v>
      </c>
      <c r="B276">
        <f t="shared" si="243"/>
        <v>310</v>
      </c>
      <c r="C276">
        <f t="shared" si="212"/>
        <v>1.0187927950427824</v>
      </c>
      <c r="D276">
        <f t="shared" si="213"/>
        <v>0.19237011795664438</v>
      </c>
      <c r="F276">
        <f t="shared" si="214"/>
        <v>1.4603273729117193E-3</v>
      </c>
      <c r="G276">
        <f t="shared" si="215"/>
        <v>2.2194297674474416E-2</v>
      </c>
      <c r="H276">
        <f t="shared" si="216"/>
        <v>-3.119398352325526</v>
      </c>
      <c r="J276">
        <f t="shared" si="217"/>
        <v>15</v>
      </c>
      <c r="M276">
        <f t="shared" si="218"/>
        <v>2.5734488361833035E-3</v>
      </c>
      <c r="N276">
        <f t="shared" si="219"/>
        <v>-1.5707963250000001</v>
      </c>
      <c r="O276">
        <f t="shared" si="220"/>
        <v>35.074432270346819</v>
      </c>
      <c r="P276">
        <f t="shared" si="221"/>
        <v>1.5422816663306196</v>
      </c>
      <c r="Q276">
        <f t="shared" si="222"/>
        <v>36.903866259374908</v>
      </c>
      <c r="R276">
        <f t="shared" si="223"/>
        <v>1.5436955777326298</v>
      </c>
      <c r="S276">
        <f t="shared" si="224"/>
        <v>0.99703850558026663</v>
      </c>
      <c r="T276">
        <f t="shared" si="225"/>
        <v>-7.6979962545459524E-2</v>
      </c>
      <c r="U276">
        <f t="shared" si="226"/>
        <v>0.47645903739113427</v>
      </c>
      <c r="V276">
        <f t="shared" si="227"/>
        <v>-1.0741735279122389</v>
      </c>
      <c r="X276">
        <f t="shared" si="244"/>
        <v>-29.041141880241021</v>
      </c>
      <c r="Y276">
        <f t="shared" si="228"/>
        <v>-146.84912922666769</v>
      </c>
      <c r="Z276">
        <f t="shared" si="245"/>
        <v>33.150870773332315</v>
      </c>
      <c r="AC276">
        <v>1</v>
      </c>
      <c r="AD276">
        <f t="shared" si="229"/>
        <v>35.060173974000001</v>
      </c>
      <c r="AE276">
        <f t="shared" si="230"/>
        <v>-6.8289766615952624E-2</v>
      </c>
      <c r="AF276">
        <f t="shared" si="231"/>
        <v>3.7007961416999996E-2</v>
      </c>
      <c r="AG276">
        <f t="shared" si="246"/>
        <v>203.74593195841089</v>
      </c>
      <c r="AH276">
        <f t="shared" si="247"/>
        <v>-402.98794019869604</v>
      </c>
      <c r="AJ276">
        <f t="shared" si="232"/>
        <v>10500</v>
      </c>
      <c r="AK276">
        <f t="shared" si="233"/>
        <v>809.89001879940008</v>
      </c>
      <c r="AL276">
        <v>1</v>
      </c>
      <c r="AM276">
        <f t="shared" si="234"/>
        <v>36.890315055442805</v>
      </c>
      <c r="AN276">
        <f t="shared" si="248"/>
        <v>29.647724478443426</v>
      </c>
      <c r="AO276">
        <f t="shared" si="249"/>
        <v>-283.82387788734161</v>
      </c>
      <c r="AQ276">
        <f t="shared" si="235"/>
        <v>2.6014500482568984E-2</v>
      </c>
      <c r="AR276">
        <f t="shared" si="236"/>
        <v>-16.128990299192768</v>
      </c>
      <c r="AT276">
        <f t="shared" si="209"/>
        <v>-6494.4882295111902</v>
      </c>
      <c r="AU276">
        <f t="shared" si="210"/>
        <v>-3296.6996900219674</v>
      </c>
      <c r="AV276">
        <f t="shared" si="250"/>
        <v>-2.6718716133442366</v>
      </c>
      <c r="AW276">
        <f t="shared" si="251"/>
        <v>-4397.7961442819596</v>
      </c>
      <c r="AX276">
        <f t="shared" si="252"/>
        <v>-1207.271032965933</v>
      </c>
      <c r="AY276">
        <f t="shared" si="260"/>
        <v>-2.8736752795287352</v>
      </c>
      <c r="BA276">
        <f t="shared" si="237"/>
        <v>1.5970437811070961</v>
      </c>
      <c r="BB276">
        <f t="shared" si="253"/>
        <v>4.0663364396462915</v>
      </c>
      <c r="BC276">
        <f t="shared" si="254"/>
        <v>0.20180366618449863</v>
      </c>
      <c r="BD276">
        <f t="shared" si="238"/>
        <v>-168.43750162414921</v>
      </c>
      <c r="BF276">
        <f t="shared" si="239"/>
        <v>-28.961116563051728</v>
      </c>
      <c r="BG276">
        <f t="shared" si="240"/>
        <v>-156.14386616074776</v>
      </c>
      <c r="BH276">
        <f t="shared" si="255"/>
        <v>23.856133839252237</v>
      </c>
      <c r="BI276">
        <f t="shared" si="256"/>
        <v>23.856133839252237</v>
      </c>
      <c r="BJ276">
        <f t="shared" si="241"/>
        <v>0</v>
      </c>
      <c r="BK276">
        <f t="shared" si="257"/>
        <v>0</v>
      </c>
      <c r="BM276">
        <f t="shared" si="258"/>
        <v>-33.027453002698017</v>
      </c>
      <c r="BN276">
        <f t="shared" si="242"/>
        <v>-167.70636453659856</v>
      </c>
      <c r="BQ276" s="56">
        <f t="shared" si="259"/>
        <v>20.968297239931427</v>
      </c>
      <c r="BR276" s="59"/>
      <c r="BS276" s="59"/>
      <c r="BT276" s="59">
        <v>45708.819000000003</v>
      </c>
      <c r="BU276" s="59">
        <v>0.52166999999999997</v>
      </c>
      <c r="BV276" s="59">
        <v>-135.751</v>
      </c>
      <c r="BY276" s="59"/>
      <c r="BZ276" s="59"/>
      <c r="CA276" s="59"/>
      <c r="CC276" s="59"/>
    </row>
    <row r="277" spans="1:81" x14ac:dyDescent="0.2">
      <c r="A277">
        <f t="shared" si="211"/>
        <v>315000</v>
      </c>
      <c r="B277">
        <f t="shared" si="243"/>
        <v>315</v>
      </c>
      <c r="C277">
        <f t="shared" si="212"/>
        <v>1.0193980869995791</v>
      </c>
      <c r="D277">
        <f t="shared" si="213"/>
        <v>0.19539508644802922</v>
      </c>
      <c r="F277">
        <f t="shared" si="214"/>
        <v>1.4142803453951012E-3</v>
      </c>
      <c r="G277">
        <f t="shared" si="215"/>
        <v>2.1841095648857105E-2</v>
      </c>
      <c r="H277">
        <f t="shared" si="216"/>
        <v>-3.1197515543511432</v>
      </c>
      <c r="J277">
        <f t="shared" si="217"/>
        <v>15</v>
      </c>
      <c r="M277">
        <f t="shared" si="218"/>
        <v>2.5326004419581713E-3</v>
      </c>
      <c r="N277">
        <f t="shared" si="219"/>
        <v>-1.5707963250000001</v>
      </c>
      <c r="O277">
        <f t="shared" si="220"/>
        <v>35.639692715008216</v>
      </c>
      <c r="P277">
        <f t="shared" si="221"/>
        <v>1.542734040492123</v>
      </c>
      <c r="Q277">
        <f t="shared" si="222"/>
        <v>37.498656319554222</v>
      </c>
      <c r="R277">
        <f t="shared" si="223"/>
        <v>1.5441255427423421</v>
      </c>
      <c r="S277">
        <f t="shared" si="224"/>
        <v>0.99694264428568113</v>
      </c>
      <c r="T277">
        <f t="shared" si="225"/>
        <v>-7.8216556939224829E-2</v>
      </c>
      <c r="U277">
        <f t="shared" si="226"/>
        <v>0.47058144110570727</v>
      </c>
      <c r="V277">
        <f t="shared" si="227"/>
        <v>-1.080846700605556</v>
      </c>
      <c r="X277">
        <f t="shared" si="244"/>
        <v>-29.284162335240204</v>
      </c>
      <c r="Y277">
        <f t="shared" si="228"/>
        <v>-147.09869024503141</v>
      </c>
      <c r="Z277">
        <f t="shared" si="245"/>
        <v>32.901309754968594</v>
      </c>
      <c r="AC277">
        <v>1</v>
      </c>
      <c r="AD277">
        <f t="shared" si="229"/>
        <v>35.625660651000004</v>
      </c>
      <c r="AE277">
        <f t="shared" si="230"/>
        <v>-7.0510427601122777E-2</v>
      </c>
      <c r="AF277">
        <f t="shared" si="231"/>
        <v>3.7604864020499999E-2</v>
      </c>
      <c r="AG277">
        <f t="shared" si="246"/>
        <v>198.75011977576793</v>
      </c>
      <c r="AH277">
        <f t="shared" si="247"/>
        <v>-399.25568998146156</v>
      </c>
      <c r="AJ277">
        <f t="shared" si="232"/>
        <v>10500</v>
      </c>
      <c r="AK277">
        <f t="shared" si="233"/>
        <v>822.95276103810011</v>
      </c>
      <c r="AL277">
        <v>1</v>
      </c>
      <c r="AM277">
        <f t="shared" si="234"/>
        <v>37.485320136982203</v>
      </c>
      <c r="AN277">
        <f t="shared" si="248"/>
        <v>29.405590066320453</v>
      </c>
      <c r="AO277">
        <f t="shared" si="249"/>
        <v>-279.32519641478581</v>
      </c>
      <c r="AQ277">
        <f t="shared" si="235"/>
        <v>2.5195199810532098E-2</v>
      </c>
      <c r="AR277">
        <f t="shared" si="236"/>
        <v>-15.872975880635222</v>
      </c>
      <c r="AT277">
        <f t="shared" si="209"/>
        <v>-6332.3683883019958</v>
      </c>
      <c r="AU277">
        <f t="shared" si="210"/>
        <v>-3164.8151843587002</v>
      </c>
      <c r="AV277">
        <f t="shared" si="250"/>
        <v>-2.6781180134490055</v>
      </c>
      <c r="AW277">
        <f t="shared" si="251"/>
        <v>-4257.6644207242525</v>
      </c>
      <c r="AX277">
        <f t="shared" si="252"/>
        <v>-1186.0008951081199</v>
      </c>
      <c r="AY277">
        <f t="shared" si="260"/>
        <v>-2.8699228352260326</v>
      </c>
      <c r="BA277">
        <f t="shared" si="237"/>
        <v>1.6017128181258269</v>
      </c>
      <c r="BB277">
        <f t="shared" si="253"/>
        <v>4.0916930229335797</v>
      </c>
      <c r="BC277">
        <f t="shared" si="254"/>
        <v>0.19180482177702718</v>
      </c>
      <c r="BD277">
        <f t="shared" si="238"/>
        <v>-169.01039320935993</v>
      </c>
      <c r="BF277">
        <f t="shared" si="239"/>
        <v>-29.208895392450049</v>
      </c>
      <c r="BG277">
        <f t="shared" si="240"/>
        <v>-156.56367680345051</v>
      </c>
      <c r="BH277">
        <f t="shared" si="255"/>
        <v>23.436323196549495</v>
      </c>
      <c r="BI277">
        <f t="shared" si="256"/>
        <v>23.436323196549495</v>
      </c>
      <c r="BJ277">
        <f t="shared" si="241"/>
        <v>0</v>
      </c>
      <c r="BK277">
        <f t="shared" si="257"/>
        <v>0</v>
      </c>
      <c r="BM277">
        <f t="shared" si="258"/>
        <v>-33.300588415383629</v>
      </c>
      <c r="BN277">
        <f t="shared" si="242"/>
        <v>-167.55328359409057</v>
      </c>
      <c r="BQ277" s="56">
        <f t="shared" si="259"/>
        <v>20.993653823218715</v>
      </c>
      <c r="BR277" s="59"/>
      <c r="BS277" s="59"/>
      <c r="BT277" s="59">
        <v>46773.514000000003</v>
      </c>
      <c r="BU277" s="59">
        <v>0.78233600000000003</v>
      </c>
      <c r="BV277" s="59">
        <v>-137.57599999999999</v>
      </c>
      <c r="BY277" s="59"/>
      <c r="BZ277" s="59"/>
      <c r="CA277" s="59"/>
      <c r="CC277" s="59"/>
    </row>
    <row r="278" spans="1:81" x14ac:dyDescent="0.2">
      <c r="A278">
        <f t="shared" si="211"/>
        <v>320000</v>
      </c>
      <c r="B278">
        <f t="shared" si="243"/>
        <v>320</v>
      </c>
      <c r="C278">
        <f t="shared" si="212"/>
        <v>1.0200126957712219</v>
      </c>
      <c r="D278">
        <f t="shared" si="213"/>
        <v>0.1984164371682659</v>
      </c>
      <c r="F278">
        <f t="shared" si="214"/>
        <v>1.3703782207005989E-3</v>
      </c>
      <c r="G278">
        <f t="shared" si="215"/>
        <v>2.1498972980879119E-2</v>
      </c>
      <c r="H278">
        <f t="shared" si="216"/>
        <v>-3.120093677019121</v>
      </c>
      <c r="J278">
        <f t="shared" si="217"/>
        <v>15</v>
      </c>
      <c r="M278">
        <f t="shared" si="218"/>
        <v>2.4930285600525751E-3</v>
      </c>
      <c r="N278">
        <f t="shared" si="219"/>
        <v>-1.5707963250000001</v>
      </c>
      <c r="O278">
        <f t="shared" si="220"/>
        <v>36.204960225319979</v>
      </c>
      <c r="P278">
        <f t="shared" si="221"/>
        <v>1.5431722889187609</v>
      </c>
      <c r="Q278">
        <f t="shared" si="222"/>
        <v>38.093453095622245</v>
      </c>
      <c r="R278">
        <f t="shared" si="223"/>
        <v>1.5445420807533423</v>
      </c>
      <c r="S278">
        <f t="shared" si="224"/>
        <v>0.99684527752205487</v>
      </c>
      <c r="T278">
        <f t="shared" si="225"/>
        <v>-7.9452911678399102E-2</v>
      </c>
      <c r="U278">
        <f t="shared" si="226"/>
        <v>0.46482714148220083</v>
      </c>
      <c r="V278">
        <f t="shared" si="227"/>
        <v>-1.0873569573828672</v>
      </c>
      <c r="X278">
        <f t="shared" si="244"/>
        <v>-29.523956207686567</v>
      </c>
      <c r="Y278">
        <f t="shared" si="228"/>
        <v>-147.34005427572004</v>
      </c>
      <c r="Z278">
        <f t="shared" si="245"/>
        <v>32.659945724279964</v>
      </c>
      <c r="AC278">
        <v>1</v>
      </c>
      <c r="AD278">
        <f t="shared" si="229"/>
        <v>36.191147328</v>
      </c>
      <c r="AE278">
        <f t="shared" si="230"/>
        <v>-7.2766619162055665E-2</v>
      </c>
      <c r="AF278">
        <f t="shared" si="231"/>
        <v>3.8201766624000003E-2</v>
      </c>
      <c r="AG278">
        <f t="shared" si="246"/>
        <v>193.9191799239847</v>
      </c>
      <c r="AH278">
        <f t="shared" si="247"/>
        <v>-395.55351621496635</v>
      </c>
      <c r="AJ278">
        <f t="shared" si="232"/>
        <v>10500</v>
      </c>
      <c r="AK278">
        <f t="shared" si="233"/>
        <v>836.01550327680013</v>
      </c>
      <c r="AL278">
        <v>1</v>
      </c>
      <c r="AM278">
        <f t="shared" si="234"/>
        <v>38.080325218521601</v>
      </c>
      <c r="AN278">
        <f t="shared" si="248"/>
        <v>29.174706365896444</v>
      </c>
      <c r="AO278">
        <f t="shared" si="249"/>
        <v>-274.96680329140884</v>
      </c>
      <c r="AQ278">
        <f t="shared" si="235"/>
        <v>2.4414002895500744E-2</v>
      </c>
      <c r="AR278">
        <f t="shared" si="236"/>
        <v>-15.624961853120476</v>
      </c>
      <c r="AT278">
        <f t="shared" ref="AT278:AT341" si="261">-AR278*AH278+AG278*AQ278</f>
        <v>-6175.7742583063637</v>
      </c>
      <c r="AU278">
        <f t="shared" ref="AU278:AU341" si="262">AQ278*AH278+AG278*AR278</f>
        <v>-3039.6368335908651</v>
      </c>
      <c r="AV278">
        <f t="shared" si="250"/>
        <v>-2.6842148233254632</v>
      </c>
      <c r="AW278">
        <f t="shared" si="251"/>
        <v>-4124.0929300228254</v>
      </c>
      <c r="AX278">
        <f t="shared" si="252"/>
        <v>-1165.517781225301</v>
      </c>
      <c r="AY278">
        <f t="shared" si="260"/>
        <v>-2.8661635730019808</v>
      </c>
      <c r="BA278">
        <f t="shared" si="237"/>
        <v>1.6061330671273899</v>
      </c>
      <c r="BB278">
        <f t="shared" si="253"/>
        <v>4.1156304692285355</v>
      </c>
      <c r="BC278">
        <f t="shared" si="254"/>
        <v>0.18194874967651753</v>
      </c>
      <c r="BD278">
        <f t="shared" si="238"/>
        <v>-169.57510454394105</v>
      </c>
      <c r="BF278">
        <f t="shared" si="239"/>
        <v>-29.453623847088089</v>
      </c>
      <c r="BG278">
        <f t="shared" si="240"/>
        <v>-156.97487967810872</v>
      </c>
      <c r="BH278">
        <f t="shared" si="255"/>
        <v>23.025120321891279</v>
      </c>
      <c r="BI278">
        <f t="shared" si="256"/>
        <v>23.025120321891279</v>
      </c>
      <c r="BJ278">
        <f t="shared" si="241"/>
        <v>0</v>
      </c>
      <c r="BK278">
        <f t="shared" si="257"/>
        <v>0</v>
      </c>
      <c r="BM278">
        <f t="shared" si="258"/>
        <v>-33.569254316316631</v>
      </c>
      <c r="BN278">
        <f t="shared" si="242"/>
        <v>-167.39977513416764</v>
      </c>
      <c r="BQ278" s="56">
        <f t="shared" si="259"/>
        <v>21.017591269513673</v>
      </c>
      <c r="BR278" s="59"/>
      <c r="BS278" s="59"/>
      <c r="BT278" s="59">
        <v>47863.008999999998</v>
      </c>
      <c r="BU278" s="59">
        <v>0.81724300000000005</v>
      </c>
      <c r="BV278" s="59">
        <v>-138.25</v>
      </c>
      <c r="BY278" s="59"/>
      <c r="BZ278" s="59"/>
      <c r="CA278" s="59"/>
      <c r="CC278" s="59"/>
    </row>
    <row r="279" spans="1:81" x14ac:dyDescent="0.2">
      <c r="A279">
        <f t="shared" si="211"/>
        <v>325000</v>
      </c>
      <c r="B279">
        <f t="shared" si="243"/>
        <v>325</v>
      </c>
      <c r="C279">
        <f t="shared" si="212"/>
        <v>1.0206366045264623</v>
      </c>
      <c r="D279">
        <f t="shared" si="213"/>
        <v>0.20143412154225265</v>
      </c>
      <c r="F279">
        <f t="shared" si="214"/>
        <v>1.3284897749378292E-3</v>
      </c>
      <c r="G279">
        <f t="shared" si="215"/>
        <v>2.1167415798288916E-2</v>
      </c>
      <c r="H279">
        <f t="shared" si="216"/>
        <v>-3.1204252342017114</v>
      </c>
      <c r="J279">
        <f t="shared" si="217"/>
        <v>15</v>
      </c>
      <c r="M279">
        <f t="shared" si="218"/>
        <v>2.4546742745133045E-3</v>
      </c>
      <c r="N279">
        <f t="shared" si="219"/>
        <v>-1.5707963250000001</v>
      </c>
      <c r="O279">
        <f t="shared" si="220"/>
        <v>36.770234475422129</v>
      </c>
      <c r="P279">
        <f t="shared" si="221"/>
        <v>1.5435970629092119</v>
      </c>
      <c r="Q279">
        <f t="shared" si="222"/>
        <v>38.688256277826952</v>
      </c>
      <c r="R279">
        <f t="shared" si="223"/>
        <v>1.5449458109080179</v>
      </c>
      <c r="S279">
        <f t="shared" si="224"/>
        <v>0.99674640662329927</v>
      </c>
      <c r="T279">
        <f t="shared" si="225"/>
        <v>-8.0689023054037037E-2</v>
      </c>
      <c r="U279">
        <f t="shared" si="226"/>
        <v>0.45919310761072279</v>
      </c>
      <c r="V279">
        <f t="shared" si="227"/>
        <v>-1.0937096601672005</v>
      </c>
      <c r="X279">
        <f t="shared" si="244"/>
        <v>-29.760598379553965</v>
      </c>
      <c r="Y279">
        <f t="shared" si="228"/>
        <v>-147.57348775673506</v>
      </c>
      <c r="Z279">
        <f t="shared" si="245"/>
        <v>32.426512243264938</v>
      </c>
      <c r="AC279">
        <v>1</v>
      </c>
      <c r="AD279">
        <f t="shared" si="229"/>
        <v>36.756634005000009</v>
      </c>
      <c r="AE279">
        <f t="shared" si="230"/>
        <v>-7.505834129875126E-2</v>
      </c>
      <c r="AF279">
        <f t="shared" si="231"/>
        <v>3.8798669227499999E-2</v>
      </c>
      <c r="AG279">
        <f t="shared" si="246"/>
        <v>189.24679353188495</v>
      </c>
      <c r="AH279">
        <f t="shared" si="247"/>
        <v>-391.88329706508966</v>
      </c>
      <c r="AJ279">
        <f t="shared" si="232"/>
        <v>10500</v>
      </c>
      <c r="AK279">
        <f t="shared" si="233"/>
        <v>849.07824551550016</v>
      </c>
      <c r="AL279">
        <v>1</v>
      </c>
      <c r="AM279">
        <f t="shared" si="234"/>
        <v>38.675330300061006</v>
      </c>
      <c r="AN279">
        <f t="shared" si="248"/>
        <v>28.954387156899333</v>
      </c>
      <c r="AO279">
        <f t="shared" si="249"/>
        <v>-270.7422414134258</v>
      </c>
      <c r="AQ279">
        <f t="shared" si="235"/>
        <v>2.3668583032939568E-2</v>
      </c>
      <c r="AR279">
        <f t="shared" si="236"/>
        <v>-15.384578971410718</v>
      </c>
      <c r="AT279">
        <f t="shared" si="261"/>
        <v>-6024.4803278282507</v>
      </c>
      <c r="AU279">
        <f t="shared" si="262"/>
        <v>-2920.7575625333502</v>
      </c>
      <c r="AV279">
        <f t="shared" si="250"/>
        <v>-2.690166790523095</v>
      </c>
      <c r="AW279">
        <f t="shared" si="251"/>
        <v>-3996.6788225621008</v>
      </c>
      <c r="AX279">
        <f t="shared" si="252"/>
        <v>-1145.7766003663871</v>
      </c>
      <c r="AY279">
        <f t="shared" si="260"/>
        <v>-2.8623983772530055</v>
      </c>
      <c r="BA279">
        <f t="shared" si="237"/>
        <v>1.6103145601293083</v>
      </c>
      <c r="BB279">
        <f t="shared" si="253"/>
        <v>4.1382143949797836</v>
      </c>
      <c r="BC279">
        <f t="shared" si="254"/>
        <v>0.17223158672991046</v>
      </c>
      <c r="BD279">
        <f t="shared" si="238"/>
        <v>-170.13185697025875</v>
      </c>
      <c r="BF279">
        <f t="shared" si="239"/>
        <v>-29.695373302109381</v>
      </c>
      <c r="BG279">
        <f t="shared" si="240"/>
        <v>-157.3777283529482</v>
      </c>
      <c r="BH279">
        <f t="shared" si="255"/>
        <v>22.622271647051804</v>
      </c>
      <c r="BI279">
        <f t="shared" si="256"/>
        <v>22.622271647051804</v>
      </c>
      <c r="BJ279">
        <f t="shared" si="241"/>
        <v>0</v>
      </c>
      <c r="BK279">
        <f t="shared" si="257"/>
        <v>0</v>
      </c>
      <c r="BM279">
        <f t="shared" si="258"/>
        <v>-33.833587697089165</v>
      </c>
      <c r="BN279">
        <f t="shared" si="242"/>
        <v>-167.24587138268947</v>
      </c>
      <c r="BQ279" s="56">
        <f t="shared" si="259"/>
        <v>21.040175195264919</v>
      </c>
      <c r="BR279" s="59"/>
      <c r="BS279" s="59"/>
      <c r="BT279" s="59">
        <v>48977.881999999998</v>
      </c>
      <c r="BU279" s="59">
        <v>0.86195100000000002</v>
      </c>
      <c r="BV279" s="59">
        <v>-138.07900000000001</v>
      </c>
      <c r="BY279" s="59"/>
      <c r="BZ279" s="59"/>
      <c r="CA279" s="59"/>
      <c r="CC279" s="59"/>
    </row>
    <row r="280" spans="1:81" x14ac:dyDescent="0.2">
      <c r="A280">
        <f>A279+5000</f>
        <v>330000</v>
      </c>
      <c r="B280">
        <f t="shared" si="243"/>
        <v>330</v>
      </c>
      <c r="C280">
        <f t="shared" si="212"/>
        <v>1.0212697962208097</v>
      </c>
      <c r="D280">
        <f t="shared" si="213"/>
        <v>0.20444809137979539</v>
      </c>
      <c r="F280">
        <f t="shared" si="214"/>
        <v>1.2884936716377822E-3</v>
      </c>
      <c r="G280">
        <f t="shared" si="215"/>
        <v>2.0845941559376739E-2</v>
      </c>
      <c r="H280">
        <f t="shared" si="216"/>
        <v>-3.1207467084406235</v>
      </c>
      <c r="J280">
        <f t="shared" si="217"/>
        <v>15</v>
      </c>
      <c r="M280">
        <f t="shared" si="218"/>
        <v>2.4174822400509816E-3</v>
      </c>
      <c r="N280">
        <f t="shared" si="219"/>
        <v>-1.5707963250000001</v>
      </c>
      <c r="O280">
        <f t="shared" si="220"/>
        <v>37.335515159185526</v>
      </c>
      <c r="P280">
        <f t="shared" si="221"/>
        <v>1.5440089743382059</v>
      </c>
      <c r="Q280">
        <f t="shared" si="222"/>
        <v>39.283065575173431</v>
      </c>
      <c r="R280">
        <f t="shared" si="223"/>
        <v>1.545337314866793</v>
      </c>
      <c r="S280">
        <f t="shared" si="224"/>
        <v>0.99664603294322041</v>
      </c>
      <c r="T280">
        <f t="shared" si="225"/>
        <v>-8.1924887361627979E-2</v>
      </c>
      <c r="U280">
        <f t="shared" si="226"/>
        <v>0.45367635909854143</v>
      </c>
      <c r="V280">
        <f t="shared" si="227"/>
        <v>-1.099909965384998</v>
      </c>
      <c r="X280">
        <f t="shared" si="244"/>
        <v>-29.994161188298296</v>
      </c>
      <c r="Y280">
        <f t="shared" si="228"/>
        <v>-147.79924794146748</v>
      </c>
      <c r="Z280">
        <f t="shared" si="245"/>
        <v>32.200752058532515</v>
      </c>
      <c r="AC280">
        <v>1</v>
      </c>
      <c r="AD280">
        <f t="shared" si="229"/>
        <v>37.322120682000005</v>
      </c>
      <c r="AE280">
        <f t="shared" si="230"/>
        <v>-7.7385594011209591E-2</v>
      </c>
      <c r="AF280">
        <f t="shared" si="231"/>
        <v>3.9395571831000002E-2</v>
      </c>
      <c r="AG280">
        <f t="shared" si="246"/>
        <v>184.72688468917005</v>
      </c>
      <c r="AH280">
        <f t="shared" si="247"/>
        <v>-388.24667318259344</v>
      </c>
      <c r="AJ280">
        <f t="shared" si="232"/>
        <v>10500</v>
      </c>
      <c r="AK280">
        <f t="shared" si="233"/>
        <v>862.14098775420007</v>
      </c>
      <c r="AL280">
        <v>1</v>
      </c>
      <c r="AM280">
        <f t="shared" si="234"/>
        <v>39.270335381600404</v>
      </c>
      <c r="AN280">
        <f t="shared" si="248"/>
        <v>28.743997740029418</v>
      </c>
      <c r="AO280">
        <f t="shared" si="249"/>
        <v>-266.64544370471913</v>
      </c>
      <c r="AQ280">
        <f t="shared" si="235"/>
        <v>2.29567884371248E-2</v>
      </c>
      <c r="AR280">
        <f t="shared" si="236"/>
        <v>-15.151480368502368</v>
      </c>
      <c r="AT280">
        <f t="shared" si="261"/>
        <v>-5878.2711108519607</v>
      </c>
      <c r="AU280">
        <f t="shared" si="262"/>
        <v>-2807.7986636402311</v>
      </c>
      <c r="AV280">
        <f t="shared" si="250"/>
        <v>-2.6959784942808684</v>
      </c>
      <c r="AW280">
        <f t="shared" si="251"/>
        <v>-3875.0496619793134</v>
      </c>
      <c r="AX280">
        <f t="shared" si="252"/>
        <v>-1126.7357292108316</v>
      </c>
      <c r="AY280">
        <f t="shared" si="260"/>
        <v>-2.8586280764358776</v>
      </c>
      <c r="BA280">
        <f t="shared" si="237"/>
        <v>1.6142668514548306</v>
      </c>
      <c r="BB280">
        <f t="shared" si="253"/>
        <v>4.1595065746954791</v>
      </c>
      <c r="BC280">
        <f t="shared" si="254"/>
        <v>0.16264958215500913</v>
      </c>
      <c r="BD280">
        <f t="shared" si="238"/>
        <v>-170.68086539230296</v>
      </c>
      <c r="BF280">
        <f t="shared" si="239"/>
        <v>-29.934212687486919</v>
      </c>
      <c r="BG280">
        <f t="shared" si="240"/>
        <v>-157.77246814065705</v>
      </c>
      <c r="BH280">
        <f t="shared" si="255"/>
        <v>22.227531859342946</v>
      </c>
      <c r="BI280">
        <f t="shared" si="256"/>
        <v>22.227531859342946</v>
      </c>
      <c r="BJ280">
        <f t="shared" si="241"/>
        <v>0</v>
      </c>
      <c r="BK280">
        <f t="shared" si="257"/>
        <v>0</v>
      </c>
      <c r="BM280">
        <f t="shared" si="258"/>
        <v>-34.093719262182404</v>
      </c>
      <c r="BN280">
        <f t="shared" si="242"/>
        <v>-167.09160274835409</v>
      </c>
      <c r="BQ280" s="56">
        <f t="shared" si="259"/>
        <v>21.061467374980616</v>
      </c>
      <c r="BR280" s="59"/>
      <c r="BS280" s="59"/>
      <c r="BT280" s="59">
        <v>50118.722999999998</v>
      </c>
      <c r="BU280" s="59">
        <v>0.950021</v>
      </c>
      <c r="BV280" s="59">
        <v>-137.59100000000001</v>
      </c>
      <c r="BY280" s="59"/>
      <c r="BZ280" s="59"/>
      <c r="CA280" s="59"/>
      <c r="CC280" s="59"/>
    </row>
    <row r="281" spans="1:81" x14ac:dyDescent="0.2">
      <c r="A281">
        <f t="shared" si="211"/>
        <v>335000</v>
      </c>
      <c r="B281">
        <f t="shared" si="243"/>
        <v>335</v>
      </c>
      <c r="C281">
        <f t="shared" si="212"/>
        <v>1.0219122535987319</v>
      </c>
      <c r="D281">
        <f t="shared" si="213"/>
        <v>0.20745829887919826</v>
      </c>
      <c r="F281">
        <f t="shared" si="214"/>
        <v>1.2502775807428177E-3</v>
      </c>
      <c r="G281">
        <f t="shared" si="215"/>
        <v>2.0534096698483901E-2</v>
      </c>
      <c r="H281">
        <f t="shared" si="216"/>
        <v>-3.1210585533015163</v>
      </c>
      <c r="J281">
        <f t="shared" si="217"/>
        <v>15</v>
      </c>
      <c r="M281">
        <f t="shared" si="218"/>
        <v>2.3814004155726094E-3</v>
      </c>
      <c r="N281">
        <f t="shared" si="219"/>
        <v>-1.5707963250000001</v>
      </c>
      <c r="O281">
        <f t="shared" si="220"/>
        <v>37.900801988740966</v>
      </c>
      <c r="P281">
        <f t="shared" si="221"/>
        <v>1.5444085985943508</v>
      </c>
      <c r="Q281">
        <f t="shared" si="222"/>
        <v>39.877880714025558</v>
      </c>
      <c r="R281">
        <f t="shared" si="223"/>
        <v>1.5457171396016318</v>
      </c>
      <c r="S281">
        <f t="shared" si="224"/>
        <v>0.99654415785546591</v>
      </c>
      <c r="T281">
        <f t="shared" si="225"/>
        <v>-8.3160500901161005E-2</v>
      </c>
      <c r="U281">
        <f t="shared" si="226"/>
        <v>0.44827396935836489</v>
      </c>
      <c r="V281">
        <f t="shared" si="227"/>
        <v>-1.1059628319203676</v>
      </c>
      <c r="X281">
        <f t="shared" si="244"/>
        <v>-30.224714548541073</v>
      </c>
      <c r="Y281">
        <f t="shared" si="228"/>
        <v>-148.0175831607626</v>
      </c>
      <c r="Z281">
        <f t="shared" si="245"/>
        <v>31.982416839237402</v>
      </c>
      <c r="AC281">
        <v>1</v>
      </c>
      <c r="AD281">
        <f t="shared" si="229"/>
        <v>37.887607359000008</v>
      </c>
      <c r="AE281">
        <f t="shared" si="230"/>
        <v>-7.9748377299430642E-2</v>
      </c>
      <c r="AF281">
        <f t="shared" si="231"/>
        <v>3.9992474434499999E-2</v>
      </c>
      <c r="AG281">
        <f t="shared" si="246"/>
        <v>180.35361418225631</v>
      </c>
      <c r="AH281">
        <f t="shared" si="247"/>
        <v>-384.64506856950732</v>
      </c>
      <c r="AJ281">
        <f t="shared" si="232"/>
        <v>10500</v>
      </c>
      <c r="AK281">
        <f t="shared" si="233"/>
        <v>875.20372999290009</v>
      </c>
      <c r="AL281">
        <v>1</v>
      </c>
      <c r="AM281">
        <f t="shared" si="234"/>
        <v>39.865340463139802</v>
      </c>
      <c r="AN281">
        <f t="shared" si="248"/>
        <v>28.542950364866005</v>
      </c>
      <c r="AO281">
        <f t="shared" si="249"/>
        <v>-262.67070412498367</v>
      </c>
      <c r="AQ281">
        <f t="shared" si="235"/>
        <v>2.2276626694972834E-2</v>
      </c>
      <c r="AR281">
        <f t="shared" si="236"/>
        <v>-14.925339885631798</v>
      </c>
      <c r="AT281">
        <f t="shared" si="261"/>
        <v>-5736.9407135958181</v>
      </c>
      <c r="AU281">
        <f t="shared" si="262"/>
        <v>-2700.4075858748638</v>
      </c>
      <c r="AV281">
        <f t="shared" si="250"/>
        <v>-2.7016543507106685</v>
      </c>
      <c r="AW281">
        <f t="shared" si="251"/>
        <v>-3758.8607152372474</v>
      </c>
      <c r="AX281">
        <f t="shared" si="252"/>
        <v>-1108.3566834128364</v>
      </c>
      <c r="AY281">
        <f t="shared" si="260"/>
        <v>-2.8548534472850067</v>
      </c>
      <c r="BA281">
        <f t="shared" si="237"/>
        <v>1.6179990418270989</v>
      </c>
      <c r="BB281">
        <f t="shared" si="253"/>
        <v>4.1795652017756648</v>
      </c>
      <c r="BC281">
        <f t="shared" si="254"/>
        <v>0.15319909657433817</v>
      </c>
      <c r="BD281">
        <f t="shared" si="238"/>
        <v>-171.22233833104337</v>
      </c>
      <c r="BF281">
        <f t="shared" si="239"/>
        <v>-30.170208607641818</v>
      </c>
      <c r="BG281">
        <f t="shared" si="240"/>
        <v>-158.1593362884384</v>
      </c>
      <c r="BH281">
        <f t="shared" si="255"/>
        <v>21.840663711561604</v>
      </c>
      <c r="BI281">
        <f t="shared" si="256"/>
        <v>21.840663711561604</v>
      </c>
      <c r="BJ281">
        <f t="shared" si="241"/>
        <v>0</v>
      </c>
      <c r="BK281">
        <f t="shared" si="257"/>
        <v>0</v>
      </c>
      <c r="BM281">
        <f t="shared" si="258"/>
        <v>-34.349773809417478</v>
      </c>
      <c r="BN281">
        <f t="shared" si="242"/>
        <v>-166.93699795739502</v>
      </c>
      <c r="BQ281" s="56">
        <f t="shared" si="259"/>
        <v>21.081526002060798</v>
      </c>
      <c r="BR281" s="59"/>
      <c r="BS281" s="59"/>
      <c r="BT281" s="59">
        <v>51286.137999999999</v>
      </c>
      <c r="BU281" s="59">
        <v>1.0492999999999999</v>
      </c>
      <c r="BV281" s="59">
        <v>-137.08699999999999</v>
      </c>
      <c r="BY281" s="59"/>
      <c r="BZ281" s="59"/>
      <c r="CA281" s="59"/>
      <c r="CC281" s="59"/>
    </row>
    <row r="282" spans="1:81" x14ac:dyDescent="0.2">
      <c r="A282">
        <f t="shared" si="211"/>
        <v>340000</v>
      </c>
      <c r="B282">
        <f t="shared" si="243"/>
        <v>340</v>
      </c>
      <c r="C282">
        <f t="shared" si="212"/>
        <v>1.0225639591958742</v>
      </c>
      <c r="D282">
        <f t="shared" si="213"/>
        <v>0.21046469663075851</v>
      </c>
      <c r="F282">
        <f t="shared" si="214"/>
        <v>1.2137373878702764E-3</v>
      </c>
      <c r="G282">
        <f t="shared" si="215"/>
        <v>2.0231454480915619E-2</v>
      </c>
      <c r="H282">
        <f t="shared" si="216"/>
        <v>-3.1213611955190848</v>
      </c>
      <c r="J282">
        <f t="shared" si="217"/>
        <v>15</v>
      </c>
      <c r="M282">
        <f t="shared" si="218"/>
        <v>2.3463798212259531E-3</v>
      </c>
      <c r="N282">
        <f t="shared" si="219"/>
        <v>-1.5707963250000001</v>
      </c>
      <c r="O282">
        <f t="shared" si="220"/>
        <v>38.46609469313799</v>
      </c>
      <c r="P282">
        <f t="shared" si="221"/>
        <v>1.5447964772591669</v>
      </c>
      <c r="Q282">
        <f t="shared" si="222"/>
        <v>40.472701436830754</v>
      </c>
      <c r="R282">
        <f t="shared" si="223"/>
        <v>1.5460857999434241</v>
      </c>
      <c r="S282">
        <f t="shared" si="224"/>
        <v>0.99644078275347481</v>
      </c>
      <c r="T282">
        <f t="shared" si="225"/>
        <v>-8.4395859977189375E-2</v>
      </c>
      <c r="U282">
        <f t="shared" si="226"/>
        <v>0.44298306825028699</v>
      </c>
      <c r="V282">
        <f t="shared" si="227"/>
        <v>-1.1118730288549041</v>
      </c>
      <c r="X282">
        <f t="shared" si="244"/>
        <v>-30.452326065367316</v>
      </c>
      <c r="Y282">
        <f t="shared" si="228"/>
        <v>-148.228733089635</v>
      </c>
      <c r="Z282">
        <f t="shared" si="245"/>
        <v>31.771266910365</v>
      </c>
      <c r="AC282">
        <v>1</v>
      </c>
      <c r="AD282">
        <f t="shared" si="229"/>
        <v>38.453094036000003</v>
      </c>
      <c r="AE282">
        <f t="shared" si="230"/>
        <v>-8.2146691163414415E-2</v>
      </c>
      <c r="AF282">
        <f t="shared" si="231"/>
        <v>4.0589377038000002E-2</v>
      </c>
      <c r="AG282">
        <f t="shared" si="246"/>
        <v>176.12137284511357</v>
      </c>
      <c r="AH282">
        <f t="shared" si="247"/>
        <v>-381.07970979458685</v>
      </c>
      <c r="AJ282">
        <f t="shared" si="232"/>
        <v>10500</v>
      </c>
      <c r="AK282">
        <f t="shared" si="233"/>
        <v>888.26647223160012</v>
      </c>
      <c r="AL282">
        <v>1</v>
      </c>
      <c r="AM282">
        <f t="shared" si="234"/>
        <v>40.4603455446792</v>
      </c>
      <c r="AN282">
        <f t="shared" si="248"/>
        <v>28.350700124134274</v>
      </c>
      <c r="AO282">
        <f t="shared" si="249"/>
        <v>-258.81265122445194</v>
      </c>
      <c r="AQ282">
        <f t="shared" si="235"/>
        <v>2.1626250808281122E-2</v>
      </c>
      <c r="AR282">
        <f t="shared" si="236"/>
        <v>-14.705850549631164</v>
      </c>
      <c r="AT282">
        <f t="shared" si="261"/>
        <v>-5600.2924147541626</v>
      </c>
      <c r="AU282">
        <f t="shared" si="262"/>
        <v>-2598.2559130380732</v>
      </c>
      <c r="AV282">
        <f t="shared" si="250"/>
        <v>-2.7071986180103478</v>
      </c>
      <c r="AW282">
        <f t="shared" si="251"/>
        <v>-3647.7925198362818</v>
      </c>
      <c r="AX282">
        <f t="shared" si="252"/>
        <v>-1090.6038253392594</v>
      </c>
      <c r="AY282">
        <f t="shared" si="260"/>
        <v>-2.8510752186714479</v>
      </c>
      <c r="BA282">
        <f t="shared" si="237"/>
        <v>1.6215198013802279</v>
      </c>
      <c r="BB282">
        <f t="shared" si="253"/>
        <v>4.1984451295928338</v>
      </c>
      <c r="BC282">
        <f t="shared" si="254"/>
        <v>0.14387660066110008</v>
      </c>
      <c r="BD282">
        <f t="shared" si="238"/>
        <v>-171.75647800201023</v>
      </c>
      <c r="BF282">
        <f t="shared" si="239"/>
        <v>-30.403425452442853</v>
      </c>
      <c r="BG282">
        <f t="shared" si="240"/>
        <v>-158.53856217829536</v>
      </c>
      <c r="BH282">
        <f t="shared" si="255"/>
        <v>21.461437821704635</v>
      </c>
      <c r="BI282">
        <f t="shared" si="256"/>
        <v>21.461437821704635</v>
      </c>
      <c r="BJ282">
        <f t="shared" si="241"/>
        <v>0</v>
      </c>
      <c r="BK282">
        <f t="shared" si="257"/>
        <v>0</v>
      </c>
      <c r="BM282">
        <f t="shared" si="258"/>
        <v>-34.601870582035687</v>
      </c>
      <c r="BN282">
        <f t="shared" si="242"/>
        <v>-166.78208417628514</v>
      </c>
      <c r="BQ282" s="56">
        <f t="shared" si="259"/>
        <v>21.100405929877972</v>
      </c>
      <c r="BR282" s="59"/>
      <c r="BS282" s="59"/>
      <c r="BT282" s="59">
        <v>52480.745999999999</v>
      </c>
      <c r="BU282" s="59">
        <v>1.1752400000000001</v>
      </c>
      <c r="BV282" s="59">
        <v>-136.553</v>
      </c>
      <c r="BY282" s="59"/>
      <c r="BZ282" s="59"/>
      <c r="CA282" s="59"/>
      <c r="CC282" s="59"/>
    </row>
    <row r="283" spans="1:81" x14ac:dyDescent="0.2">
      <c r="A283">
        <f t="shared" si="211"/>
        <v>345000</v>
      </c>
      <c r="B283">
        <f t="shared" si="243"/>
        <v>345</v>
      </c>
      <c r="C283">
        <f t="shared" si="212"/>
        <v>1.0232248953412932</v>
      </c>
      <c r="D283">
        <f t="shared" si="213"/>
        <v>0.21346723762016601</v>
      </c>
      <c r="F283">
        <f t="shared" si="214"/>
        <v>1.1787764834276175E-3</v>
      </c>
      <c r="G283">
        <f t="shared" si="215"/>
        <v>1.9937613045825531E-2</v>
      </c>
      <c r="H283">
        <f t="shared" si="216"/>
        <v>-3.1216550369541745</v>
      </c>
      <c r="J283">
        <f t="shared" si="217"/>
        <v>15</v>
      </c>
      <c r="M283">
        <f t="shared" si="218"/>
        <v>2.3123743165705045E-3</v>
      </c>
      <c r="N283">
        <f t="shared" si="219"/>
        <v>-1.5707963250000001</v>
      </c>
      <c r="O283">
        <f t="shared" si="220"/>
        <v>39.031393017120152</v>
      </c>
      <c r="P283">
        <f t="shared" si="221"/>
        <v>1.5451731205535368</v>
      </c>
      <c r="Q283">
        <f t="shared" si="222"/>
        <v>41.067527500955642</v>
      </c>
      <c r="R283">
        <f t="shared" si="223"/>
        <v>1.546443780908181</v>
      </c>
      <c r="S283">
        <f t="shared" si="224"/>
        <v>0.99633590905042446</v>
      </c>
      <c r="T283">
        <f t="shared" si="225"/>
        <v>-8.5630960898894923E-2</v>
      </c>
      <c r="U283">
        <f t="shared" si="226"/>
        <v>0.43780084415514764</v>
      </c>
      <c r="V283">
        <f t="shared" si="227"/>
        <v>-1.1176451429821364</v>
      </c>
      <c r="X283">
        <f t="shared" si="244"/>
        <v>-30.677061140048355</v>
      </c>
      <c r="Y283">
        <f t="shared" si="228"/>
        <v>-148.43292901630574</v>
      </c>
      <c r="Z283">
        <f t="shared" si="245"/>
        <v>31.567070983694265</v>
      </c>
      <c r="AC283">
        <v>1</v>
      </c>
      <c r="AD283">
        <f t="shared" si="229"/>
        <v>39.018580713000006</v>
      </c>
      <c r="AE283">
        <f t="shared" si="230"/>
        <v>-8.4580535603160867E-2</v>
      </c>
      <c r="AF283">
        <f t="shared" si="231"/>
        <v>4.1186279641499998E-2</v>
      </c>
      <c r="AG283">
        <f t="shared" si="246"/>
        <v>172.02477463246257</v>
      </c>
      <c r="AH283">
        <f t="shared" si="247"/>
        <v>-377.55164367306276</v>
      </c>
      <c r="AJ283">
        <f t="shared" si="232"/>
        <v>10500</v>
      </c>
      <c r="AK283">
        <f t="shared" si="233"/>
        <v>901.32921447030014</v>
      </c>
      <c r="AL283">
        <v>1</v>
      </c>
      <c r="AM283">
        <f t="shared" si="234"/>
        <v>41.055350626218605</v>
      </c>
      <c r="AN283">
        <f t="shared" si="248"/>
        <v>28.166741260759338</v>
      </c>
      <c r="AO283">
        <f t="shared" si="249"/>
        <v>-255.06622398815321</v>
      </c>
      <c r="AQ283">
        <f t="shared" si="235"/>
        <v>2.1003946641573953E-2</v>
      </c>
      <c r="AR283">
        <f t="shared" si="236"/>
        <v>-14.492723182686026</v>
      </c>
      <c r="AT283">
        <f t="shared" si="261"/>
        <v>-5468.1382597344018</v>
      </c>
      <c r="AU283">
        <f t="shared" si="262"/>
        <v>-2501.0375138903769</v>
      </c>
      <c r="AV283">
        <f t="shared" si="250"/>
        <v>-2.7126154016707584</v>
      </c>
      <c r="AW283">
        <f t="shared" si="251"/>
        <v>-3541.5486962869122</v>
      </c>
      <c r="AX283">
        <f t="shared" si="252"/>
        <v>-1073.4441036493713</v>
      </c>
      <c r="AY283">
        <f t="shared" si="260"/>
        <v>-2.8472940751368965</v>
      </c>
      <c r="BA283">
        <f t="shared" si="237"/>
        <v>1.6248373916060757</v>
      </c>
      <c r="BB283">
        <f t="shared" si="253"/>
        <v>4.2161980944605721</v>
      </c>
      <c r="BC283">
        <f t="shared" si="254"/>
        <v>0.13467867346613804</v>
      </c>
      <c r="BD283">
        <f t="shared" si="238"/>
        <v>-172.28348041115234</v>
      </c>
      <c r="BF283">
        <f t="shared" si="239"/>
        <v>-30.633925500450708</v>
      </c>
      <c r="BG283">
        <f t="shared" si="240"/>
        <v>-158.91036753482877</v>
      </c>
      <c r="BH283">
        <f t="shared" si="255"/>
        <v>21.089632465171235</v>
      </c>
      <c r="BI283">
        <f t="shared" si="256"/>
        <v>21.089632465171235</v>
      </c>
      <c r="BJ283">
        <f t="shared" si="241"/>
        <v>0</v>
      </c>
      <c r="BK283">
        <f t="shared" si="257"/>
        <v>0</v>
      </c>
      <c r="BM283">
        <f t="shared" si="258"/>
        <v>-34.850123594911281</v>
      </c>
      <c r="BN283">
        <f t="shared" si="242"/>
        <v>-166.62688712367643</v>
      </c>
      <c r="BQ283" s="56">
        <f t="shared" si="259"/>
        <v>21.118158894745708</v>
      </c>
      <c r="BR283" s="59"/>
      <c r="BS283" s="59"/>
      <c r="BT283" s="59">
        <v>53703.18</v>
      </c>
      <c r="BU283" s="59">
        <v>1.3152900000000001</v>
      </c>
      <c r="BV283" s="59">
        <v>-136.001</v>
      </c>
      <c r="BY283" s="59"/>
      <c r="BZ283" s="59"/>
      <c r="CA283" s="59"/>
      <c r="CC283" s="59"/>
    </row>
    <row r="284" spans="1:81" x14ac:dyDescent="0.2">
      <c r="A284">
        <f t="shared" si="211"/>
        <v>350000</v>
      </c>
      <c r="B284">
        <f t="shared" si="243"/>
        <v>350</v>
      </c>
      <c r="C284">
        <f t="shared" si="212"/>
        <v>1.023895044159711</v>
      </c>
      <c r="D284">
        <f t="shared" si="213"/>
        <v>0.21646587523180644</v>
      </c>
      <c r="F284">
        <f t="shared" si="214"/>
        <v>1.145305122491771E-3</v>
      </c>
      <c r="G284">
        <f t="shared" si="215"/>
        <v>1.9652193618112844E-2</v>
      </c>
      <c r="H284">
        <f t="shared" si="216"/>
        <v>-3.1219404563818873</v>
      </c>
      <c r="J284">
        <f t="shared" si="217"/>
        <v>15</v>
      </c>
      <c r="M284">
        <f t="shared" si="218"/>
        <v>2.2793403977623542E-3</v>
      </c>
      <c r="N284">
        <f t="shared" si="219"/>
        <v>-1.5707963250000001</v>
      </c>
      <c r="O284">
        <f t="shared" si="220"/>
        <v>39.596696720005077</v>
      </c>
      <c r="P284">
        <f t="shared" si="221"/>
        <v>1.5455390095747834</v>
      </c>
      <c r="Q284">
        <f t="shared" si="222"/>
        <v>41.662358677621334</v>
      </c>
      <c r="R284">
        <f t="shared" si="223"/>
        <v>1.5467915398241214</v>
      </c>
      <c r="S284">
        <f t="shared" si="224"/>
        <v>0.99622953817917781</v>
      </c>
      <c r="T284">
        <f t="shared" si="225"/>
        <v>-8.6865799980152383E-2</v>
      </c>
      <c r="U284">
        <f t="shared" si="226"/>
        <v>0.43272454554885997</v>
      </c>
      <c r="V284">
        <f t="shared" si="227"/>
        <v>-1.1232835860889516</v>
      </c>
      <c r="X284">
        <f t="shared" si="244"/>
        <v>-30.898983068901593</v>
      </c>
      <c r="Y284">
        <f t="shared" si="228"/>
        <v>-148.63039411161415</v>
      </c>
      <c r="Z284">
        <f t="shared" si="245"/>
        <v>31.369605888385848</v>
      </c>
      <c r="AC284">
        <v>1</v>
      </c>
      <c r="AD284">
        <f t="shared" si="229"/>
        <v>39.584067390000001</v>
      </c>
      <c r="AE284">
        <f t="shared" si="230"/>
        <v>-8.7049910618670082E-2</v>
      </c>
      <c r="AF284">
        <f t="shared" si="231"/>
        <v>4.1783182245000001E-2</v>
      </c>
      <c r="AG284">
        <f t="shared" si="246"/>
        <v>168.05864950645821</v>
      </c>
      <c r="AH284">
        <f t="shared" si="247"/>
        <v>-374.06175352050639</v>
      </c>
      <c r="AJ284">
        <f t="shared" si="232"/>
        <v>10500</v>
      </c>
      <c r="AK284">
        <f t="shared" si="233"/>
        <v>914.39195670900006</v>
      </c>
      <c r="AL284">
        <v>1</v>
      </c>
      <c r="AM284">
        <f t="shared" si="234"/>
        <v>41.650355707758003</v>
      </c>
      <c r="AN284">
        <f t="shared" si="248"/>
        <v>27.990603840958922</v>
      </c>
      <c r="AO284">
        <f t="shared" si="249"/>
        <v>-251.42664974187653</v>
      </c>
      <c r="AQ284">
        <f t="shared" si="235"/>
        <v>2.0408121616078335E-2</v>
      </c>
      <c r="AR284">
        <f t="shared" si="236"/>
        <v>-14.285685131254834</v>
      </c>
      <c r="AT284">
        <f t="shared" si="261"/>
        <v>-5340.2986690812468</v>
      </c>
      <c r="AU284">
        <f t="shared" si="262"/>
        <v>-2408.4668481909475</v>
      </c>
      <c r="AV284">
        <f t="shared" si="250"/>
        <v>-2.7179086596472062</v>
      </c>
      <c r="AW284">
        <f t="shared" si="251"/>
        <v>-3439.8539780259571</v>
      </c>
      <c r="AX284">
        <f t="shared" si="252"/>
        <v>-1056.8468207936696</v>
      </c>
      <c r="AY284">
        <f t="shared" si="260"/>
        <v>-2.8435106601325728</v>
      </c>
      <c r="BA284">
        <f t="shared" si="237"/>
        <v>1.6279596862607975</v>
      </c>
      <c r="BB284">
        <f t="shared" si="253"/>
        <v>4.2328729219818602</v>
      </c>
      <c r="BC284">
        <f t="shared" si="254"/>
        <v>0.12560200048536663</v>
      </c>
      <c r="BD284">
        <f t="shared" si="238"/>
        <v>-172.8035354655652</v>
      </c>
      <c r="BF284">
        <f t="shared" si="239"/>
        <v>-30.861769015164594</v>
      </c>
      <c r="BG284">
        <f t="shared" si="240"/>
        <v>-159.2749666382268</v>
      </c>
      <c r="BH284">
        <f t="shared" si="255"/>
        <v>20.7250333617732</v>
      </c>
      <c r="BI284">
        <f t="shared" si="256"/>
        <v>20.7250333617732</v>
      </c>
      <c r="BJ284">
        <f t="shared" si="241"/>
        <v>0</v>
      </c>
      <c r="BK284">
        <f t="shared" si="257"/>
        <v>0</v>
      </c>
      <c r="BM284">
        <f t="shared" si="258"/>
        <v>-35.094641937146449</v>
      </c>
      <c r="BN284">
        <f t="shared" si="242"/>
        <v>-166.4714311726616</v>
      </c>
      <c r="BQ284" s="56">
        <f t="shared" si="259"/>
        <v>21.134833722266997</v>
      </c>
      <c r="BR284" s="59"/>
      <c r="BS284" s="59"/>
      <c r="BT284" s="59">
        <v>54954.087</v>
      </c>
      <c r="BU284" s="59">
        <v>1.4637500000000001</v>
      </c>
      <c r="BV284" s="59">
        <v>-135.524</v>
      </c>
      <c r="BY284" s="59"/>
      <c r="BZ284" s="59"/>
      <c r="CA284" s="59"/>
      <c r="CC284" s="59"/>
    </row>
    <row r="285" spans="1:81" x14ac:dyDescent="0.2">
      <c r="A285">
        <f t="shared" si="211"/>
        <v>355000</v>
      </c>
      <c r="B285">
        <f t="shared" si="243"/>
        <v>355</v>
      </c>
      <c r="C285">
        <f t="shared" si="212"/>
        <v>1.0245743875737818</v>
      </c>
      <c r="D285">
        <f t="shared" si="213"/>
        <v>0.21946056325196869</v>
      </c>
      <c r="F285">
        <f t="shared" si="214"/>
        <v>1.1132398475128312E-3</v>
      </c>
      <c r="G285">
        <f t="shared" si="215"/>
        <v>1.9374838872529641E-2</v>
      </c>
      <c r="H285">
        <f t="shared" si="216"/>
        <v>-3.1222178111274705</v>
      </c>
      <c r="J285">
        <f t="shared" si="217"/>
        <v>15</v>
      </c>
      <c r="M285">
        <f t="shared" si="218"/>
        <v>2.2472370118783776E-3</v>
      </c>
      <c r="N285">
        <f t="shared" si="219"/>
        <v>-1.5707963250000001</v>
      </c>
      <c r="O285">
        <f t="shared" si="220"/>
        <v>40.16200557465919</v>
      </c>
      <c r="P285">
        <f t="shared" si="221"/>
        <v>1.5458945983449879</v>
      </c>
      <c r="Q285">
        <f t="shared" si="222"/>
        <v>42.257194750928583</v>
      </c>
      <c r="R285">
        <f t="shared" si="223"/>
        <v>1.5471295082792518</v>
      </c>
      <c r="S285">
        <f t="shared" si="224"/>
        <v>0.99612167159222875</v>
      </c>
      <c r="T285">
        <f t="shared" si="225"/>
        <v>-8.810037353959331E-2</v>
      </c>
      <c r="U285">
        <f t="shared" si="226"/>
        <v>0.42775148213985026</v>
      </c>
      <c r="V285">
        <f t="shared" si="227"/>
        <v>-1.1287926019991217</v>
      </c>
      <c r="X285">
        <f t="shared" si="244"/>
        <v>-31.118153135913769</v>
      </c>
      <c r="Y285">
        <f t="shared" si="228"/>
        <v>-148.82134369718358</v>
      </c>
      <c r="Z285">
        <f t="shared" si="245"/>
        <v>31.178656302816421</v>
      </c>
      <c r="AC285">
        <v>1</v>
      </c>
      <c r="AD285">
        <f t="shared" si="229"/>
        <v>40.149554067000004</v>
      </c>
      <c r="AE285">
        <f t="shared" si="230"/>
        <v>-8.9554816209942031E-2</v>
      </c>
      <c r="AF285">
        <f t="shared" si="231"/>
        <v>4.2380084848499998E-2</v>
      </c>
      <c r="AG285">
        <f t="shared" si="246"/>
        <v>164.21803621384956</v>
      </c>
      <c r="AH285">
        <f t="shared" si="247"/>
        <v>-370.61077408496078</v>
      </c>
      <c r="AJ285">
        <f t="shared" si="232"/>
        <v>10500</v>
      </c>
      <c r="AK285">
        <f t="shared" si="233"/>
        <v>927.45469894770008</v>
      </c>
      <c r="AL285">
        <v>1</v>
      </c>
      <c r="AM285">
        <f t="shared" si="234"/>
        <v>42.245360789297408</v>
      </c>
      <c r="AN285">
        <f t="shared" si="248"/>
        <v>27.821850752497408</v>
      </c>
      <c r="AO285">
        <f t="shared" si="249"/>
        <v>-247.88942391753847</v>
      </c>
      <c r="AQ285">
        <f t="shared" si="235"/>
        <v>1.9837294510425488E-2</v>
      </c>
      <c r="AR285">
        <f t="shared" si="236"/>
        <v>-14.084479102402097</v>
      </c>
      <c r="AT285">
        <f t="shared" si="261"/>
        <v>-5216.602061176397</v>
      </c>
      <c r="AU285">
        <f t="shared" si="262"/>
        <v>-2320.2774143657348</v>
      </c>
      <c r="AV285">
        <f t="shared" si="250"/>
        <v>-2.7230822074710308</v>
      </c>
      <c r="AW285">
        <f t="shared" si="251"/>
        <v>-3342.4524344550873</v>
      </c>
      <c r="AX285">
        <f t="shared" si="252"/>
        <v>-1040.7834250433609</v>
      </c>
      <c r="AY285">
        <f t="shared" si="260"/>
        <v>-2.8397255789899187</v>
      </c>
      <c r="BA285">
        <f t="shared" si="237"/>
        <v>1.6308941912594974</v>
      </c>
      <c r="BB285">
        <f t="shared" si="253"/>
        <v>4.2485157181354829</v>
      </c>
      <c r="BC285">
        <f t="shared" si="254"/>
        <v>0.11664337151888793</v>
      </c>
      <c r="BD285">
        <f t="shared" si="238"/>
        <v>-173.31682709615461</v>
      </c>
      <c r="BF285">
        <f t="shared" si="239"/>
        <v>-31.087014334936995</v>
      </c>
      <c r="BG285">
        <f t="shared" si="240"/>
        <v>-159.63256654047444</v>
      </c>
      <c r="BH285">
        <f t="shared" si="255"/>
        <v>20.367433459525557</v>
      </c>
      <c r="BI285">
        <f t="shared" si="256"/>
        <v>20.367433459525557</v>
      </c>
      <c r="BJ285">
        <f t="shared" si="241"/>
        <v>0</v>
      </c>
      <c r="BK285">
        <f t="shared" si="257"/>
        <v>0</v>
      </c>
      <c r="BM285">
        <f t="shared" si="258"/>
        <v>-35.335530053072482</v>
      </c>
      <c r="BN285">
        <f t="shared" si="242"/>
        <v>-166.31573944431983</v>
      </c>
      <c r="BQ285" s="56">
        <f t="shared" si="259"/>
        <v>21.150476518420618</v>
      </c>
      <c r="BR285" s="59"/>
      <c r="BS285" s="59"/>
      <c r="BT285" s="59">
        <v>56234.133000000002</v>
      </c>
      <c r="BU285" s="59">
        <v>1.62296</v>
      </c>
      <c r="BV285" s="59">
        <v>-134.983</v>
      </c>
      <c r="BY285" s="59"/>
      <c r="BZ285" s="59"/>
      <c r="CA285" s="59"/>
      <c r="CC285" s="59"/>
    </row>
    <row r="286" spans="1:81" x14ac:dyDescent="0.2">
      <c r="A286">
        <f t="shared" si="211"/>
        <v>360000</v>
      </c>
      <c r="B286">
        <f t="shared" si="243"/>
        <v>360</v>
      </c>
      <c r="C286">
        <f t="shared" si="212"/>
        <v>1.025262907306375</v>
      </c>
      <c r="D286">
        <f t="shared" si="213"/>
        <v>0.22245125587195566</v>
      </c>
      <c r="F286">
        <f t="shared" si="214"/>
        <v>1.0825029668908609E-3</v>
      </c>
      <c r="G286">
        <f t="shared" si="215"/>
        <v>1.910521143507973E-2</v>
      </c>
      <c r="H286">
        <f t="shared" si="216"/>
        <v>-3.1224874385649204</v>
      </c>
      <c r="J286">
        <f t="shared" si="217"/>
        <v>15</v>
      </c>
      <c r="M286">
        <f t="shared" si="218"/>
        <v>2.2160253867134E-3</v>
      </c>
      <c r="N286">
        <f t="shared" si="219"/>
        <v>-1.5707963250000001</v>
      </c>
      <c r="O286">
        <f t="shared" si="220"/>
        <v>40.72731936655763</v>
      </c>
      <c r="P286">
        <f t="shared" si="221"/>
        <v>1.5462403156888636</v>
      </c>
      <c r="Q286">
        <f t="shared" si="222"/>
        <v>42.852035516964165</v>
      </c>
      <c r="R286">
        <f t="shared" si="223"/>
        <v>1.5474580939068612</v>
      </c>
      <c r="S286">
        <f t="shared" si="224"/>
        <v>0.99601231076164842</v>
      </c>
      <c r="T286">
        <f t="shared" si="225"/>
        <v>-8.933467790066979E-2</v>
      </c>
      <c r="U286">
        <f t="shared" si="226"/>
        <v>0.42287902562506768</v>
      </c>
      <c r="V286">
        <f t="shared" si="227"/>
        <v>-1.1341762733764027</v>
      </c>
      <c r="X286">
        <f t="shared" si="244"/>
        <v>-31.334630699681458</v>
      </c>
      <c r="Y286">
        <f t="shared" si="228"/>
        <v>-149.00598551100387</v>
      </c>
      <c r="Z286">
        <f t="shared" si="245"/>
        <v>30.994014488996129</v>
      </c>
      <c r="AC286">
        <v>1</v>
      </c>
      <c r="AD286">
        <f t="shared" si="229"/>
        <v>40.715040744000007</v>
      </c>
      <c r="AE286">
        <f t="shared" si="230"/>
        <v>-9.2095252376976702E-2</v>
      </c>
      <c r="AF286">
        <f t="shared" si="231"/>
        <v>4.2976987452000001E-2</v>
      </c>
      <c r="AG286">
        <f t="shared" si="246"/>
        <v>160.49817501830611</v>
      </c>
      <c r="AH286">
        <f t="shared" si="247"/>
        <v>-367.19930525564746</v>
      </c>
      <c r="AJ286">
        <f t="shared" si="232"/>
        <v>10500</v>
      </c>
      <c r="AK286">
        <f t="shared" si="233"/>
        <v>940.51744118640022</v>
      </c>
      <c r="AL286">
        <v>1</v>
      </c>
      <c r="AM286">
        <f t="shared" si="234"/>
        <v>42.840365870836806</v>
      </c>
      <c r="AN286">
        <f t="shared" si="248"/>
        <v>27.660074992288347</v>
      </c>
      <c r="AO286">
        <f t="shared" si="249"/>
        <v>-244.45029149801596</v>
      </c>
      <c r="AQ286">
        <f t="shared" si="235"/>
        <v>1.9290086245975606E-2</v>
      </c>
      <c r="AR286">
        <f t="shared" si="236"/>
        <v>-13.888862097102436</v>
      </c>
      <c r="AT286">
        <f t="shared" si="261"/>
        <v>-5096.8844892090847</v>
      </c>
      <c r="AU286">
        <f t="shared" si="262"/>
        <v>-2236.2203259337089</v>
      </c>
      <c r="AV286">
        <f t="shared" si="250"/>
        <v>-2.7281397232815037</v>
      </c>
      <c r="AW286">
        <f t="shared" si="251"/>
        <v>-3249.1058657949097</v>
      </c>
      <c r="AX286">
        <f t="shared" si="252"/>
        <v>-1025.2273241172245</v>
      </c>
      <c r="AY286">
        <f t="shared" si="260"/>
        <v>-2.8359394016473463</v>
      </c>
      <c r="BA286">
        <f t="shared" si="237"/>
        <v>1.6336480635903787</v>
      </c>
      <c r="BB286">
        <f t="shared" si="253"/>
        <v>4.2631700463382796</v>
      </c>
      <c r="BC286">
        <f t="shared" si="254"/>
        <v>0.10779967836584259</v>
      </c>
      <c r="BD286">
        <f t="shared" si="238"/>
        <v>-173.82353338971186</v>
      </c>
      <c r="BF286">
        <f t="shared" si="239"/>
        <v>-31.309717957143377</v>
      </c>
      <c r="BG286">
        <f t="shared" si="240"/>
        <v>-159.98336728311418</v>
      </c>
      <c r="BH286">
        <f t="shared" si="255"/>
        <v>20.016632716885823</v>
      </c>
      <c r="BI286">
        <f t="shared" si="256"/>
        <v>20.016632716885823</v>
      </c>
      <c r="BJ286">
        <f t="shared" si="241"/>
        <v>0</v>
      </c>
      <c r="BK286">
        <f t="shared" si="257"/>
        <v>0</v>
      </c>
      <c r="BM286">
        <f t="shared" si="258"/>
        <v>-35.572888003481665</v>
      </c>
      <c r="BN286">
        <f t="shared" si="242"/>
        <v>-166.15983389340232</v>
      </c>
      <c r="BQ286" s="56">
        <f t="shared" si="259"/>
        <v>21.16513084662342</v>
      </c>
      <c r="BR286" s="59"/>
      <c r="BS286" s="59"/>
      <c r="BT286" s="59">
        <v>57543.993999999999</v>
      </c>
      <c r="BU286" s="59">
        <v>1.78169</v>
      </c>
      <c r="BV286" s="59">
        <v>-134.52199999999999</v>
      </c>
      <c r="BY286" s="59"/>
      <c r="BZ286" s="59"/>
      <c r="CA286" s="59"/>
      <c r="CC286" s="59"/>
    </row>
    <row r="287" spans="1:81" x14ac:dyDescent="0.2">
      <c r="A287">
        <f t="shared" si="211"/>
        <v>365000</v>
      </c>
      <c r="B287">
        <f t="shared" si="243"/>
        <v>365</v>
      </c>
      <c r="C287">
        <f t="shared" si="212"/>
        <v>1.0259605848828734</v>
      </c>
      <c r="D287">
        <f t="shared" si="213"/>
        <v>0.22543790769109873</v>
      </c>
      <c r="F287">
        <f t="shared" si="214"/>
        <v>1.0530220833282705E-3</v>
      </c>
      <c r="G287">
        <f t="shared" si="215"/>
        <v>1.8842992508440095E-2</v>
      </c>
      <c r="H287">
        <f t="shared" si="216"/>
        <v>-3.1227496574915601</v>
      </c>
      <c r="J287">
        <f t="shared" si="217"/>
        <v>15</v>
      </c>
      <c r="M287">
        <f t="shared" si="218"/>
        <v>2.1856688745666413E-3</v>
      </c>
      <c r="N287">
        <f t="shared" si="219"/>
        <v>-1.5707963250000001</v>
      </c>
      <c r="O287">
        <f t="shared" si="220"/>
        <v>41.292637892921448</v>
      </c>
      <c r="P287">
        <f t="shared" si="221"/>
        <v>1.5465765669575051</v>
      </c>
      <c r="Q287">
        <f t="shared" si="222"/>
        <v>43.446880782980564</v>
      </c>
      <c r="R287">
        <f t="shared" si="223"/>
        <v>1.5477776820244546</v>
      </c>
      <c r="S287">
        <f t="shared" si="224"/>
        <v>0.99590145717902934</v>
      </c>
      <c r="T287">
        <f t="shared" si="225"/>
        <v>-9.0568709391718114E-2</v>
      </c>
      <c r="U287">
        <f t="shared" si="226"/>
        <v>0.41810461011399175</v>
      </c>
      <c r="V287">
        <f t="shared" si="227"/>
        <v>-1.139438528286649</v>
      </c>
      <c r="X287">
        <f t="shared" si="244"/>
        <v>-31.548473275158486</v>
      </c>
      <c r="Y287">
        <f t="shared" si="228"/>
        <v>-149.18451996933354</v>
      </c>
      <c r="Z287">
        <f t="shared" si="245"/>
        <v>30.815480030666464</v>
      </c>
      <c r="AC287">
        <v>1</v>
      </c>
      <c r="AD287">
        <f t="shared" si="229"/>
        <v>41.280527421000002</v>
      </c>
      <c r="AE287">
        <f t="shared" si="230"/>
        <v>-9.467121911977408E-2</v>
      </c>
      <c r="AF287">
        <f t="shared" si="231"/>
        <v>4.3573890055499997E-2</v>
      </c>
      <c r="AG287">
        <f t="shared" si="246"/>
        <v>156.89450044193251</v>
      </c>
      <c r="AH287">
        <f t="shared" si="247"/>
        <v>-363.82782464070209</v>
      </c>
      <c r="AJ287">
        <f t="shared" si="232"/>
        <v>10500</v>
      </c>
      <c r="AK287">
        <f t="shared" si="233"/>
        <v>953.58018342510002</v>
      </c>
      <c r="AL287">
        <v>1</v>
      </c>
      <c r="AM287">
        <f t="shared" si="234"/>
        <v>43.435370952376203</v>
      </c>
      <c r="AN287">
        <f t="shared" si="248"/>
        <v>27.504897211908506</v>
      </c>
      <c r="AO287">
        <f t="shared" si="249"/>
        <v>-241.10522998112387</v>
      </c>
      <c r="AQ287">
        <f t="shared" si="235"/>
        <v>1.8765211549612405E-2</v>
      </c>
      <c r="AR287">
        <f t="shared" si="236"/>
        <v>-13.698604431217055</v>
      </c>
      <c r="AT287">
        <f t="shared" si="261"/>
        <v>-4980.9892923314192</v>
      </c>
      <c r="AU287">
        <f t="shared" si="262"/>
        <v>-2156.0630050844611</v>
      </c>
      <c r="AV287">
        <f t="shared" si="250"/>
        <v>-2.7330847527620983</v>
      </c>
      <c r="AW287">
        <f t="shared" si="251"/>
        <v>-3159.5923510532375</v>
      </c>
      <c r="AX287">
        <f t="shared" si="252"/>
        <v>-1010.1537178610594</v>
      </c>
      <c r="AY287">
        <f t="shared" si="260"/>
        <v>-2.832152665154914</v>
      </c>
      <c r="BA287">
        <f t="shared" si="237"/>
        <v>1.6362281292821055</v>
      </c>
      <c r="BB287">
        <f t="shared" si="253"/>
        <v>4.2768770916122838</v>
      </c>
      <c r="BC287">
        <f t="shared" si="254"/>
        <v>9.906791239281576E-2</v>
      </c>
      <c r="BD287">
        <f t="shared" si="238"/>
        <v>-174.32382672823391</v>
      </c>
      <c r="BF287">
        <f t="shared" si="239"/>
        <v>-31.529934617124663</v>
      </c>
      <c r="BG287">
        <f t="shared" si="240"/>
        <v>-160.32756211515078</v>
      </c>
      <c r="BH287">
        <f t="shared" si="255"/>
        <v>19.672437884849217</v>
      </c>
      <c r="BI287">
        <f t="shared" si="256"/>
        <v>19.672437884849217</v>
      </c>
      <c r="BJ287">
        <f t="shared" si="241"/>
        <v>0</v>
      </c>
      <c r="BK287">
        <f t="shared" si="257"/>
        <v>0</v>
      </c>
      <c r="BM287">
        <f t="shared" si="258"/>
        <v>-35.806811708736944</v>
      </c>
      <c r="BN287">
        <f t="shared" si="242"/>
        <v>-166.0037353869169</v>
      </c>
      <c r="BQ287" s="56">
        <f t="shared" si="259"/>
        <v>21.17883789189742</v>
      </c>
      <c r="BR287" s="59"/>
      <c r="BS287" s="59"/>
      <c r="BT287" s="59">
        <v>58884.366000000002</v>
      </c>
      <c r="BU287" s="59">
        <v>1.9421999999999999</v>
      </c>
      <c r="BV287" s="59">
        <v>-134.059</v>
      </c>
      <c r="BY287" s="59"/>
      <c r="BZ287" s="59"/>
      <c r="CA287" s="59"/>
      <c r="CC287" s="59"/>
    </row>
    <row r="288" spans="1:81" x14ac:dyDescent="0.2">
      <c r="A288">
        <f t="shared" si="211"/>
        <v>370000</v>
      </c>
      <c r="B288">
        <f t="shared" si="243"/>
        <v>370</v>
      </c>
      <c r="C288">
        <f t="shared" si="212"/>
        <v>1.0266674016334854</v>
      </c>
      <c r="D288">
        <f t="shared" si="213"/>
        <v>0.22842047371967583</v>
      </c>
      <c r="F288">
        <f t="shared" si="214"/>
        <v>1.0247296665989664E-3</v>
      </c>
      <c r="G288">
        <f t="shared" si="215"/>
        <v>1.858788060958284E-2</v>
      </c>
      <c r="H288">
        <f t="shared" si="216"/>
        <v>-3.1230047693904175</v>
      </c>
      <c r="J288">
        <f t="shared" si="217"/>
        <v>15</v>
      </c>
      <c r="M288">
        <f t="shared" si="218"/>
        <v>2.1561328086941189E-3</v>
      </c>
      <c r="N288">
        <f t="shared" si="219"/>
        <v>-1.5707963250000001</v>
      </c>
      <c r="O288">
        <f t="shared" si="220"/>
        <v>41.857960961924732</v>
      </c>
      <c r="P288">
        <f t="shared" si="221"/>
        <v>1.5469037356125688</v>
      </c>
      <c r="Q288">
        <f t="shared" si="222"/>
        <v>44.041730366642149</v>
      </c>
      <c r="R288">
        <f t="shared" si="223"/>
        <v>1.5480886371399665</v>
      </c>
      <c r="S288">
        <f t="shared" si="224"/>
        <v>0.99578911235543044</v>
      </c>
      <c r="T288">
        <f t="shared" si="225"/>
        <v>-9.1802464346022059E-2</v>
      </c>
      <c r="U288">
        <f t="shared" si="226"/>
        <v>0.41342573226464419</v>
      </c>
      <c r="V288">
        <f t="shared" si="227"/>
        <v>-1.1445831465200065</v>
      </c>
      <c r="X288">
        <f t="shared" si="244"/>
        <v>-31.759736610645284</v>
      </c>
      <c r="Y288">
        <f t="shared" si="228"/>
        <v>-149.35714042403373</v>
      </c>
      <c r="Z288">
        <f t="shared" si="245"/>
        <v>30.64285957596627</v>
      </c>
      <c r="AC288">
        <v>1</v>
      </c>
      <c r="AD288">
        <f t="shared" si="229"/>
        <v>41.846014098000005</v>
      </c>
      <c r="AE288">
        <f t="shared" si="230"/>
        <v>-9.728271643833418E-2</v>
      </c>
      <c r="AF288">
        <f t="shared" si="231"/>
        <v>4.4170792658999994E-2</v>
      </c>
      <c r="AG288">
        <f t="shared" si="246"/>
        <v>153.40263406075493</v>
      </c>
      <c r="AH288">
        <f t="shared" si="247"/>
        <v>-360.49669910058765</v>
      </c>
      <c r="AJ288">
        <f t="shared" si="232"/>
        <v>10500</v>
      </c>
      <c r="AK288">
        <f t="shared" si="233"/>
        <v>966.64292566380004</v>
      </c>
      <c r="AL288">
        <v>1</v>
      </c>
      <c r="AM288">
        <f t="shared" si="234"/>
        <v>44.030376033915601</v>
      </c>
      <c r="AN288">
        <f t="shared" si="248"/>
        <v>27.355963493377111</v>
      </c>
      <c r="AO288">
        <f t="shared" si="249"/>
        <v>-237.85043371966168</v>
      </c>
      <c r="AQ288">
        <f t="shared" si="235"/>
        <v>1.8261471399796569E-2</v>
      </c>
      <c r="AR288">
        <f t="shared" si="236"/>
        <v>-13.51348883584946</v>
      </c>
      <c r="AT288">
        <f t="shared" si="261"/>
        <v>-4868.7667608418196</v>
      </c>
      <c r="AU288">
        <f t="shared" si="262"/>
        <v>-2079.5879829302585</v>
      </c>
      <c r="AV288">
        <f t="shared" si="250"/>
        <v>-2.7379207139684691</v>
      </c>
      <c r="AW288">
        <f t="shared" si="251"/>
        <v>-3073.7049326627334</v>
      </c>
      <c r="AX288">
        <f t="shared" si="252"/>
        <v>-995.53944776729099</v>
      </c>
      <c r="AY288">
        <f t="shared" si="260"/>
        <v>-2.8283658759766741</v>
      </c>
      <c r="BA288">
        <f t="shared" si="237"/>
        <v>1.6386409004596081</v>
      </c>
      <c r="BB288">
        <f t="shared" si="253"/>
        <v>4.2896758128870811</v>
      </c>
      <c r="BC288">
        <f t="shared" si="254"/>
        <v>9.044516200820496E-2</v>
      </c>
      <c r="BD288">
        <f t="shared" si="238"/>
        <v>-174.81787393363143</v>
      </c>
      <c r="BF288">
        <f t="shared" si="239"/>
        <v>-31.747717362361172</v>
      </c>
      <c r="BG288">
        <f t="shared" si="240"/>
        <v>-160.66533770992129</v>
      </c>
      <c r="BH288">
        <f t="shared" si="255"/>
        <v>19.334662290078711</v>
      </c>
      <c r="BI288">
        <f t="shared" si="256"/>
        <v>19.334662290078711</v>
      </c>
      <c r="BJ288">
        <f t="shared" si="241"/>
        <v>0</v>
      </c>
      <c r="BK288">
        <f t="shared" si="257"/>
        <v>0</v>
      </c>
      <c r="BM288">
        <f t="shared" si="258"/>
        <v>-36.037393175248255</v>
      </c>
      <c r="BN288">
        <f t="shared" si="242"/>
        <v>-165.84746377628989</v>
      </c>
      <c r="BQ288" s="56">
        <f t="shared" si="259"/>
        <v>21.191636613172218</v>
      </c>
      <c r="BR288" s="59"/>
      <c r="BS288" s="59"/>
      <c r="BT288" s="59">
        <v>60255.959000000003</v>
      </c>
      <c r="BU288" s="59">
        <v>2.1075200000000001</v>
      </c>
      <c r="BV288" s="59">
        <v>-133.65100000000001</v>
      </c>
      <c r="BY288" s="59"/>
      <c r="BZ288" s="59"/>
      <c r="CA288" s="59"/>
      <c r="CC288" s="59"/>
    </row>
    <row r="289" spans="1:81" x14ac:dyDescent="0.2">
      <c r="A289">
        <f t="shared" si="211"/>
        <v>375000</v>
      </c>
      <c r="B289">
        <f t="shared" si="243"/>
        <v>375</v>
      </c>
      <c r="C289">
        <f t="shared" si="212"/>
        <v>1.0273833386955689</v>
      </c>
      <c r="D289">
        <f t="shared" si="213"/>
        <v>0.23139890938173277</v>
      </c>
      <c r="F289">
        <f t="shared" si="214"/>
        <v>9.9756266601606089E-4</v>
      </c>
      <c r="G289">
        <f t="shared" si="215"/>
        <v>1.8339590409047091E-2</v>
      </c>
      <c r="H289">
        <f t="shared" si="216"/>
        <v>-3.1232530595909531</v>
      </c>
      <c r="J289">
        <f t="shared" si="217"/>
        <v>15</v>
      </c>
      <c r="M289">
        <f t="shared" si="218"/>
        <v>2.1273843712448638E-3</v>
      </c>
      <c r="N289">
        <f t="shared" si="219"/>
        <v>-1.5707963250000001</v>
      </c>
      <c r="O289">
        <f t="shared" si="220"/>
        <v>42.423288391964917</v>
      </c>
      <c r="P289">
        <f t="shared" si="221"/>
        <v>1.5472221846838894</v>
      </c>
      <c r="Q289">
        <f t="shared" si="222"/>
        <v>44.636584095331578</v>
      </c>
      <c r="R289">
        <f t="shared" si="223"/>
        <v>1.5483913043376221</v>
      </c>
      <c r="S289">
        <f t="shared" si="224"/>
        <v>0.99567527782131859</v>
      </c>
      <c r="T289">
        <f t="shared" si="225"/>
        <v>-9.3035939101875964E-2</v>
      </c>
      <c r="U289">
        <f t="shared" si="226"/>
        <v>0.40883995117073058</v>
      </c>
      <c r="V289">
        <f t="shared" si="227"/>
        <v>-1.14961376567561</v>
      </c>
      <c r="X289">
        <f t="shared" si="244"/>
        <v>-31.96847476040746</v>
      </c>
      <c r="Y289">
        <f t="shared" si="228"/>
        <v>-149.52403341462335</v>
      </c>
      <c r="Z289">
        <f t="shared" si="245"/>
        <v>30.475966585376653</v>
      </c>
      <c r="AC289">
        <v>1</v>
      </c>
      <c r="AD289">
        <f t="shared" si="229"/>
        <v>42.411500775</v>
      </c>
      <c r="AE289">
        <f t="shared" si="230"/>
        <v>-9.9929744332657014E-2</v>
      </c>
      <c r="AF289">
        <f t="shared" si="231"/>
        <v>4.4767695262499997E-2</v>
      </c>
      <c r="AG289">
        <f t="shared" si="246"/>
        <v>150.01837739098175</v>
      </c>
      <c r="AH289">
        <f t="shared" si="247"/>
        <v>-357.20619531816936</v>
      </c>
      <c r="AJ289">
        <f t="shared" si="232"/>
        <v>10500</v>
      </c>
      <c r="AK289">
        <f t="shared" si="233"/>
        <v>979.70566790250018</v>
      </c>
      <c r="AL289">
        <v>1</v>
      </c>
      <c r="AM289">
        <f t="shared" si="234"/>
        <v>44.625381115455006</v>
      </c>
      <c r="AN289">
        <f t="shared" si="248"/>
        <v>27.212943330842869</v>
      </c>
      <c r="AO289">
        <f t="shared" si="249"/>
        <v>-234.68229950964252</v>
      </c>
      <c r="AQ289">
        <f t="shared" si="235"/>
        <v>1.7777746172895691E-2</v>
      </c>
      <c r="AR289">
        <f t="shared" si="236"/>
        <v>-13.333309629671769</v>
      </c>
      <c r="AT289">
        <f t="shared" si="261"/>
        <v>-4760.0738151796359</v>
      </c>
      <c r="AU289">
        <f t="shared" si="262"/>
        <v>-2006.5917969666627</v>
      </c>
      <c r="AV289">
        <f t="shared" si="250"/>
        <v>-2.7426509020383034</v>
      </c>
      <c r="AW289">
        <f t="shared" si="251"/>
        <v>-2991.2504233013697</v>
      </c>
      <c r="AX289">
        <f t="shared" si="252"/>
        <v>-981.36286140732545</v>
      </c>
      <c r="AY289">
        <f t="shared" si="260"/>
        <v>-2.8245795121085426</v>
      </c>
      <c r="BA289">
        <f t="shared" si="237"/>
        <v>1.6408925915245121</v>
      </c>
      <c r="BB289">
        <f t="shared" si="253"/>
        <v>4.3016030843784741</v>
      </c>
      <c r="BC289">
        <f t="shared" si="254"/>
        <v>8.1928610070239216E-2</v>
      </c>
      <c r="BD289">
        <f t="shared" si="238"/>
        <v>-175.30583641623841</v>
      </c>
      <c r="BF289">
        <f t="shared" si="239"/>
        <v>-31.963117622284969</v>
      </c>
      <c r="BG289">
        <f t="shared" si="240"/>
        <v>-160.99687437994757</v>
      </c>
      <c r="BH289">
        <f t="shared" si="255"/>
        <v>19.00312562005243</v>
      </c>
      <c r="BI289">
        <f t="shared" si="256"/>
        <v>19.00312562005243</v>
      </c>
      <c r="BJ289">
        <f t="shared" si="241"/>
        <v>0</v>
      </c>
      <c r="BK289">
        <f t="shared" si="257"/>
        <v>0</v>
      </c>
      <c r="BM289">
        <f t="shared" si="258"/>
        <v>-36.264720706663446</v>
      </c>
      <c r="BN289">
        <f t="shared" si="242"/>
        <v>-165.69103796370916</v>
      </c>
      <c r="BQ289" s="56">
        <f t="shared" si="259"/>
        <v>21.203563884663609</v>
      </c>
      <c r="BR289" s="59"/>
      <c r="BS289" s="59"/>
      <c r="BT289" s="59">
        <v>61659.5</v>
      </c>
      <c r="BU289" s="59">
        <v>2.2781099999999999</v>
      </c>
      <c r="BV289" s="59">
        <v>-133.24799999999999</v>
      </c>
      <c r="BY289" s="59"/>
      <c r="BZ289" s="59"/>
      <c r="CA289" s="59"/>
      <c r="CC289" s="59"/>
    </row>
    <row r="290" spans="1:81" x14ac:dyDescent="0.2">
      <c r="A290">
        <f t="shared" si="211"/>
        <v>380000</v>
      </c>
      <c r="B290">
        <f t="shared" si="243"/>
        <v>380</v>
      </c>
      <c r="C290">
        <f t="shared" si="212"/>
        <v>1.0281083770159702</v>
      </c>
      <c r="D290">
        <f t="shared" si="213"/>
        <v>0.23437317051780804</v>
      </c>
      <c r="F290">
        <f t="shared" si="214"/>
        <v>9.7146215843652234E-4</v>
      </c>
      <c r="G290">
        <f t="shared" si="215"/>
        <v>1.8097851662430175E-2</v>
      </c>
      <c r="H290">
        <f t="shared" si="216"/>
        <v>-3.1234947983375698</v>
      </c>
      <c r="J290">
        <f t="shared" si="217"/>
        <v>15</v>
      </c>
      <c r="M290">
        <f t="shared" si="218"/>
        <v>2.0993924716232212E-3</v>
      </c>
      <c r="N290">
        <f t="shared" si="219"/>
        <v>-1.5707963250000001</v>
      </c>
      <c r="O290">
        <f t="shared" si="220"/>
        <v>42.988620010990878</v>
      </c>
      <c r="P290">
        <f t="shared" si="221"/>
        <v>1.5475322581121733</v>
      </c>
      <c r="Q290">
        <f t="shared" si="222"/>
        <v>45.231441805510926</v>
      </c>
      <c r="R290">
        <f t="shared" si="223"/>
        <v>1.5486860105545213</v>
      </c>
      <c r="S290">
        <f t="shared" si="224"/>
        <v>0.9955599551265143</v>
      </c>
      <c r="T290">
        <f t="shared" si="225"/>
        <v>-9.4269130002647722E-2</v>
      </c>
      <c r="U290">
        <f t="shared" si="226"/>
        <v>0.4043448880346624</v>
      </c>
      <c r="V290">
        <f t="shared" si="227"/>
        <v>-1.1545338870123083</v>
      </c>
      <c r="X290">
        <f t="shared" si="244"/>
        <v>-32.174740153268949</v>
      </c>
      <c r="Y290">
        <f t="shared" si="228"/>
        <v>-149.68537891449554</v>
      </c>
      <c r="Z290">
        <f t="shared" si="245"/>
        <v>30.314621085504456</v>
      </c>
      <c r="AC290">
        <v>1</v>
      </c>
      <c r="AD290">
        <f t="shared" si="229"/>
        <v>42.976987452000003</v>
      </c>
      <c r="AE290">
        <f t="shared" si="230"/>
        <v>-0.10261230280274257</v>
      </c>
      <c r="AF290">
        <f t="shared" si="231"/>
        <v>4.5364597865999993E-2</v>
      </c>
      <c r="AG290">
        <f t="shared" si="246"/>
        <v>146.73770489596504</v>
      </c>
      <c r="AH290">
        <f t="shared" si="247"/>
        <v>-353.95648948094771</v>
      </c>
      <c r="AJ290">
        <f t="shared" si="232"/>
        <v>10500</v>
      </c>
      <c r="AK290">
        <f t="shared" si="233"/>
        <v>992.76841014120021</v>
      </c>
      <c r="AL290">
        <v>1</v>
      </c>
      <c r="AM290">
        <f t="shared" si="234"/>
        <v>45.220386196994404</v>
      </c>
      <c r="AN290">
        <f t="shared" si="248"/>
        <v>27.075527796681968</v>
      </c>
      <c r="AO290">
        <f t="shared" si="249"/>
        <v>-231.59741331221551</v>
      </c>
      <c r="AQ290">
        <f t="shared" si="235"/>
        <v>1.7312989416569571E-2</v>
      </c>
      <c r="AR290">
        <f t="shared" si="236"/>
        <v>-13.157871956592873</v>
      </c>
      <c r="AT290">
        <f t="shared" si="261"/>
        <v>-4654.7736984635467</v>
      </c>
      <c r="AU290">
        <f t="shared" si="262"/>
        <v>-1936.8839771817288</v>
      </c>
      <c r="AV290">
        <f t="shared" si="250"/>
        <v>-2.7472784937755863</v>
      </c>
      <c r="AW290">
        <f t="shared" si="251"/>
        <v>-2912.0483221119739</v>
      </c>
      <c r="AX290">
        <f t="shared" si="252"/>
        <v>-967.60369009417207</v>
      </c>
      <c r="AY290">
        <f t="shared" si="260"/>
        <v>-2.8207940250278321</v>
      </c>
      <c r="BA290">
        <f t="shared" si="237"/>
        <v>1.6429891344968319</v>
      </c>
      <c r="BB290">
        <f t="shared" si="253"/>
        <v>4.3126938269036401</v>
      </c>
      <c r="BC290">
        <f t="shared" si="254"/>
        <v>7.3515531252245747E-2</v>
      </c>
      <c r="BD290">
        <f t="shared" si="238"/>
        <v>-175.78787032577117</v>
      </c>
      <c r="BF290">
        <f t="shared" si="239"/>
        <v>-32.176185274092653</v>
      </c>
      <c r="BG290">
        <f t="shared" si="240"/>
        <v>-161.3223462889604</v>
      </c>
      <c r="BH290">
        <f t="shared" si="255"/>
        <v>18.677653711039596</v>
      </c>
      <c r="BI290">
        <f t="shared" si="256"/>
        <v>18.677653711039596</v>
      </c>
      <c r="BJ290">
        <f t="shared" si="241"/>
        <v>0</v>
      </c>
      <c r="BK290">
        <f t="shared" si="257"/>
        <v>0</v>
      </c>
      <c r="BM290">
        <f t="shared" si="258"/>
        <v>-36.488879100996293</v>
      </c>
      <c r="BN290">
        <f t="shared" si="242"/>
        <v>-165.53447596318927</v>
      </c>
      <c r="BQ290" s="56">
        <f t="shared" si="259"/>
        <v>21.214654627188775</v>
      </c>
      <c r="BR290" s="59"/>
      <c r="BS290" s="59"/>
      <c r="BT290" s="59">
        <v>63095.733999999997</v>
      </c>
      <c r="BU290" s="59">
        <v>2.4499300000000002</v>
      </c>
      <c r="BV290" s="59">
        <v>-132.86600000000001</v>
      </c>
      <c r="BY290" s="59"/>
      <c r="BZ290" s="59"/>
      <c r="CA290" s="59"/>
      <c r="CC290" s="59"/>
    </row>
    <row r="291" spans="1:81" x14ac:dyDescent="0.2">
      <c r="A291">
        <f t="shared" si="211"/>
        <v>385000</v>
      </c>
      <c r="B291">
        <f t="shared" si="243"/>
        <v>385</v>
      </c>
      <c r="C291">
        <f t="shared" si="212"/>
        <v>1.0288424973533745</v>
      </c>
      <c r="D291">
        <f t="shared" si="213"/>
        <v>0.23734321338756112</v>
      </c>
      <c r="F291">
        <f t="shared" si="214"/>
        <v>9.4637302812572313E-4</v>
      </c>
      <c r="G291">
        <f t="shared" si="215"/>
        <v>1.7862408225655043E-2</v>
      </c>
      <c r="H291">
        <f t="shared" si="216"/>
        <v>-3.1237302417743451</v>
      </c>
      <c r="J291">
        <f t="shared" si="217"/>
        <v>15</v>
      </c>
      <c r="M291">
        <f t="shared" si="218"/>
        <v>2.0721276343294128E-3</v>
      </c>
      <c r="N291">
        <f t="shared" si="219"/>
        <v>-1.5707963250000001</v>
      </c>
      <c r="O291">
        <f t="shared" si="220"/>
        <v>43.553955655883129</v>
      </c>
      <c r="P291">
        <f t="shared" si="221"/>
        <v>1.5478342819872009</v>
      </c>
      <c r="Q291">
        <f t="shared" si="222"/>
        <v>45.826303342132576</v>
      </c>
      <c r="R291">
        <f t="shared" si="223"/>
        <v>1.5489730657578633</v>
      </c>
      <c r="S291">
        <f t="shared" si="224"/>
        <v>0.99544314584013038</v>
      </c>
      <c r="T291">
        <f t="shared" si="225"/>
        <v>-9.5502033396841379E-2</v>
      </c>
      <c r="U291">
        <f t="shared" si="226"/>
        <v>0.39993822565728437</v>
      </c>
      <c r="V291">
        <f t="shared" si="227"/>
        <v>-1.1593468810698286</v>
      </c>
      <c r="X291">
        <f t="shared" si="244"/>
        <v>-32.378583657489386</v>
      </c>
      <c r="Y291">
        <f t="shared" si="228"/>
        <v>-149.84135057086738</v>
      </c>
      <c r="Z291">
        <f t="shared" si="245"/>
        <v>30.158649429132623</v>
      </c>
      <c r="AC291">
        <v>1</v>
      </c>
      <c r="AD291">
        <f t="shared" si="229"/>
        <v>43.542474129000006</v>
      </c>
      <c r="AE291">
        <f t="shared" si="230"/>
        <v>-0.10533039184859079</v>
      </c>
      <c r="AF291">
        <f t="shared" si="231"/>
        <v>4.5961500469499997E-2</v>
      </c>
      <c r="AG291">
        <f t="shared" si="246"/>
        <v>143.55675713787977</v>
      </c>
      <c r="AH291">
        <f t="shared" si="247"/>
        <v>-350.74767614568333</v>
      </c>
      <c r="AJ291">
        <f t="shared" si="232"/>
        <v>10500</v>
      </c>
      <c r="AK291">
        <f t="shared" si="233"/>
        <v>1005.8311523799</v>
      </c>
      <c r="AL291">
        <v>1</v>
      </c>
      <c r="AM291">
        <f t="shared" si="234"/>
        <v>45.815391278533809</v>
      </c>
      <c r="AN291">
        <f t="shared" si="248"/>
        <v>26.943427873001831</v>
      </c>
      <c r="AO291">
        <f t="shared" si="249"/>
        <v>-228.59253800663288</v>
      </c>
      <c r="AQ291">
        <f t="shared" si="235"/>
        <v>1.6866222185491338E-2</v>
      </c>
      <c r="AR291">
        <f t="shared" si="236"/>
        <v>-12.986991082828331</v>
      </c>
      <c r="AT291">
        <f t="shared" si="261"/>
        <v>-4552.7356822646325</v>
      </c>
      <c r="AU291">
        <f t="shared" si="262"/>
        <v>-1870.2861130663148</v>
      </c>
      <c r="AV291">
        <f t="shared" si="250"/>
        <v>-2.7518065521038597</v>
      </c>
      <c r="AW291">
        <f t="shared" si="251"/>
        <v>-2835.929829020633</v>
      </c>
      <c r="AX291">
        <f t="shared" si="252"/>
        <v>-954.24293830378656</v>
      </c>
      <c r="AY291">
        <f t="shared" si="260"/>
        <v>-2.8170098414890679</v>
      </c>
      <c r="BA291">
        <f t="shared" si="237"/>
        <v>1.644936193554601</v>
      </c>
      <c r="BB291">
        <f t="shared" si="253"/>
        <v>4.3229811299194347</v>
      </c>
      <c r="BC291">
        <f t="shared" si="254"/>
        <v>6.5203289385208141E-2</v>
      </c>
      <c r="BD291">
        <f t="shared" si="238"/>
        <v>-176.26412670358854</v>
      </c>
      <c r="BF291">
        <f t="shared" si="239"/>
        <v>-32.386968704881369</v>
      </c>
      <c r="BG291">
        <f t="shared" si="240"/>
        <v>-161.64192166043028</v>
      </c>
      <c r="BH291">
        <f t="shared" si="255"/>
        <v>18.358078339569715</v>
      </c>
      <c r="BI291">
        <f t="shared" si="256"/>
        <v>18.358078339569715</v>
      </c>
      <c r="BJ291">
        <f t="shared" si="241"/>
        <v>0</v>
      </c>
      <c r="BK291">
        <f t="shared" si="257"/>
        <v>0</v>
      </c>
      <c r="BM291">
        <f t="shared" si="258"/>
        <v>-36.709949834800803</v>
      </c>
      <c r="BN291">
        <f t="shared" si="242"/>
        <v>-165.37779495684177</v>
      </c>
      <c r="BQ291" s="56">
        <f t="shared" si="259"/>
        <v>21.224941930204572</v>
      </c>
      <c r="BR291" s="59"/>
      <c r="BS291" s="59"/>
      <c r="BT291" s="59">
        <v>64565.423000000003</v>
      </c>
      <c r="BU291" s="59">
        <v>2.6258699999999999</v>
      </c>
      <c r="BV291" s="59">
        <v>-132.49799999999999</v>
      </c>
      <c r="BY291" s="59"/>
      <c r="BZ291" s="59"/>
      <c r="CA291" s="59"/>
      <c r="CC291" s="59"/>
    </row>
    <row r="292" spans="1:81" x14ac:dyDescent="0.2">
      <c r="A292">
        <f t="shared" si="211"/>
        <v>390000</v>
      </c>
      <c r="B292">
        <f t="shared" si="243"/>
        <v>390</v>
      </c>
      <c r="C292">
        <f t="shared" si="212"/>
        <v>1.0295856802806655</v>
      </c>
      <c r="D292">
        <f t="shared" si="213"/>
        <v>0.24030899467230432</v>
      </c>
      <c r="F292">
        <f t="shared" si="214"/>
        <v>9.2224367522749577E-4</v>
      </c>
      <c r="G292">
        <f t="shared" si="215"/>
        <v>1.7633017146443469E-2</v>
      </c>
      <c r="H292">
        <f t="shared" si="216"/>
        <v>-3.1239596328535568</v>
      </c>
      <c r="J292">
        <f t="shared" si="217"/>
        <v>15</v>
      </c>
      <c r="M292">
        <f t="shared" si="218"/>
        <v>2.0455618954277541E-3</v>
      </c>
      <c r="N292">
        <f t="shared" si="219"/>
        <v>-1.5707963250000001</v>
      </c>
      <c r="O292">
        <f t="shared" si="220"/>
        <v>44.119295171881788</v>
      </c>
      <c r="P292">
        <f t="shared" si="221"/>
        <v>1.548128565690901</v>
      </c>
      <c r="Q292">
        <f t="shared" si="222"/>
        <v>46.421168558095303</v>
      </c>
      <c r="R292">
        <f t="shared" si="223"/>
        <v>1.5492527640317157</v>
      </c>
      <c r="S292">
        <f t="shared" si="224"/>
        <v>0.99532485155051575</v>
      </c>
      <c r="T292">
        <f t="shared" si="225"/>
        <v>-9.6734645638159547E-2</v>
      </c>
      <c r="U292">
        <f t="shared" si="226"/>
        <v>0.39561770777161093</v>
      </c>
      <c r="V292">
        <f t="shared" si="227"/>
        <v>-1.1640559930655145</v>
      </c>
      <c r="X292">
        <f t="shared" si="244"/>
        <v>-32.580054642203194</v>
      </c>
      <c r="Y292">
        <f t="shared" si="228"/>
        <v>-149.99211593814232</v>
      </c>
      <c r="Z292">
        <f t="shared" si="245"/>
        <v>30.007884061857681</v>
      </c>
      <c r="AC292">
        <v>1</v>
      </c>
      <c r="AD292">
        <f t="shared" si="229"/>
        <v>44.107960806000008</v>
      </c>
      <c r="AE292">
        <f t="shared" si="230"/>
        <v>-0.1080840114702018</v>
      </c>
      <c r="AF292">
        <f t="shared" si="231"/>
        <v>4.6558403073E-2</v>
      </c>
      <c r="AG292">
        <f t="shared" si="246"/>
        <v>140.47183409306993</v>
      </c>
      <c r="AH292">
        <f t="shared" si="247"/>
        <v>-347.57977635062633</v>
      </c>
      <c r="AJ292">
        <f t="shared" si="232"/>
        <v>10500</v>
      </c>
      <c r="AK292">
        <f t="shared" si="233"/>
        <v>1018.8938946186001</v>
      </c>
      <c r="AL292">
        <v>1</v>
      </c>
      <c r="AM292">
        <f t="shared" si="234"/>
        <v>46.4103963600732</v>
      </c>
      <c r="AN292">
        <f t="shared" si="248"/>
        <v>26.816372931720707</v>
      </c>
      <c r="AO292">
        <f t="shared" si="249"/>
        <v>-225.66460208209608</v>
      </c>
      <c r="AQ292">
        <f t="shared" si="235"/>
        <v>1.6436527882104073E-2</v>
      </c>
      <c r="AR292">
        <f t="shared" si="236"/>
        <v>-12.820491748041176</v>
      </c>
      <c r="AT292">
        <f t="shared" si="261"/>
        <v>-4453.8347852714815</v>
      </c>
      <c r="AU292">
        <f t="shared" si="262"/>
        <v>-1806.6309945076548</v>
      </c>
      <c r="AV292">
        <f t="shared" si="250"/>
        <v>-2.7562380303847718</v>
      </c>
      <c r="AW292">
        <f t="shared" si="251"/>
        <v>-2762.7369471485813</v>
      </c>
      <c r="AX292">
        <f t="shared" si="252"/>
        <v>-941.26278356561738</v>
      </c>
      <c r="AY292">
        <f t="shared" si="260"/>
        <v>-2.81322736517934</v>
      </c>
      <c r="BA292">
        <f t="shared" si="237"/>
        <v>1.6467391788078409</v>
      </c>
      <c r="BB292">
        <f t="shared" si="253"/>
        <v>4.332496365003883</v>
      </c>
      <c r="BC292">
        <f t="shared" si="254"/>
        <v>5.6989334794568247E-2</v>
      </c>
      <c r="BD292">
        <f t="shared" si="238"/>
        <v>-176.73475163528209</v>
      </c>
      <c r="BF292">
        <f t="shared" si="239"/>
        <v>-32.595514870396968</v>
      </c>
      <c r="BG292">
        <f t="shared" si="240"/>
        <v>-161.9557629820668</v>
      </c>
      <c r="BH292">
        <f t="shared" si="255"/>
        <v>18.044237017933199</v>
      </c>
      <c r="BI292">
        <f t="shared" si="256"/>
        <v>18.044237017933199</v>
      </c>
      <c r="BJ292">
        <f t="shared" si="241"/>
        <v>0</v>
      </c>
      <c r="BK292">
        <f t="shared" si="257"/>
        <v>0</v>
      </c>
      <c r="BM292">
        <f t="shared" si="258"/>
        <v>-36.928011235400852</v>
      </c>
      <c r="BN292">
        <f t="shared" si="242"/>
        <v>-165.22101134678471</v>
      </c>
      <c r="BQ292" s="56">
        <f t="shared" si="259"/>
        <v>21.234457165289019</v>
      </c>
      <c r="BR292" s="59"/>
      <c r="BS292" s="59"/>
      <c r="BT292" s="59">
        <v>66069.345000000001</v>
      </c>
      <c r="BU292" s="59">
        <v>2.7940900000000002</v>
      </c>
      <c r="BV292" s="59">
        <v>-132.279</v>
      </c>
      <c r="BY292" s="59"/>
      <c r="BZ292" s="59"/>
      <c r="CA292" s="59"/>
      <c r="CC292" s="59"/>
    </row>
    <row r="293" spans="1:81" x14ac:dyDescent="0.2">
      <c r="A293">
        <f t="shared" si="211"/>
        <v>395000</v>
      </c>
      <c r="B293">
        <f t="shared" si="243"/>
        <v>395</v>
      </c>
      <c r="C293">
        <f t="shared" si="212"/>
        <v>1.0303379061873006</v>
      </c>
      <c r="D293">
        <f t="shared" si="213"/>
        <v>0.2432704714774383</v>
      </c>
      <c r="F293">
        <f t="shared" si="214"/>
        <v>8.9902574995466805E-4</v>
      </c>
      <c r="G293">
        <f t="shared" si="215"/>
        <v>1.740944782519712E-2</v>
      </c>
      <c r="H293">
        <f t="shared" si="216"/>
        <v>-3.1241832021748031</v>
      </c>
      <c r="J293">
        <f t="shared" si="217"/>
        <v>15</v>
      </c>
      <c r="M293">
        <f t="shared" si="218"/>
        <v>2.0196687068780358E-3</v>
      </c>
      <c r="N293">
        <f t="shared" si="219"/>
        <v>-1.5707963250000001</v>
      </c>
      <c r="O293">
        <f t="shared" si="220"/>
        <v>44.684638412057879</v>
      </c>
      <c r="P293">
        <f t="shared" si="221"/>
        <v>1.5484154029537154</v>
      </c>
      <c r="Q293">
        <f t="shared" si="222"/>
        <v>47.016037313741741</v>
      </c>
      <c r="R293">
        <f t="shared" si="223"/>
        <v>1.5495253845813368</v>
      </c>
      <c r="S293">
        <f t="shared" si="224"/>
        <v>0.99520507386519597</v>
      </c>
      <c r="T293">
        <f t="shared" si="225"/>
        <v>-9.7966963085565656E-2</v>
      </c>
      <c r="U293">
        <f t="shared" si="226"/>
        <v>0.39138113824473342</v>
      </c>
      <c r="V293">
        <f t="shared" si="227"/>
        <v>-1.1686643480723082</v>
      </c>
      <c r="X293">
        <f t="shared" si="244"/>
        <v>-32.779201035670383</v>
      </c>
      <c r="Y293">
        <f t="shared" si="228"/>
        <v>-150.1378367044606</v>
      </c>
      <c r="Z293">
        <f t="shared" si="245"/>
        <v>29.862163295539403</v>
      </c>
      <c r="AC293">
        <v>1</v>
      </c>
      <c r="AD293">
        <f t="shared" si="229"/>
        <v>44.673447483000004</v>
      </c>
      <c r="AE293">
        <f t="shared" si="230"/>
        <v>-0.11087316166757552</v>
      </c>
      <c r="AF293">
        <f t="shared" si="231"/>
        <v>4.7155305676500003E-2</v>
      </c>
      <c r="AG293">
        <f t="shared" si="246"/>
        <v>137.4793886456863</v>
      </c>
      <c r="AH293">
        <f t="shared" si="247"/>
        <v>-344.45274503579901</v>
      </c>
      <c r="AJ293">
        <f t="shared" si="232"/>
        <v>10500</v>
      </c>
      <c r="AK293">
        <f t="shared" si="233"/>
        <v>1031.9566368573001</v>
      </c>
      <c r="AL293">
        <v>1</v>
      </c>
      <c r="AM293">
        <f t="shared" si="234"/>
        <v>47.005401441612605</v>
      </c>
      <c r="AN293">
        <f t="shared" si="248"/>
        <v>26.694109348294873</v>
      </c>
      <c r="AO293">
        <f t="shared" si="249"/>
        <v>-222.81068918560433</v>
      </c>
      <c r="AQ293">
        <f t="shared" si="235"/>
        <v>1.6023047551598221E-2</v>
      </c>
      <c r="AR293">
        <f t="shared" si="236"/>
        <v>-12.658207565762593</v>
      </c>
      <c r="AT293">
        <f t="shared" si="261"/>
        <v>-4357.9515044782102</v>
      </c>
      <c r="AU293">
        <f t="shared" si="262"/>
        <v>-1745.7618202042295</v>
      </c>
      <c r="AV293">
        <f t="shared" si="250"/>
        <v>-2.7605757765996546</v>
      </c>
      <c r="AW293">
        <f t="shared" si="251"/>
        <v>-2692.3216644444055</v>
      </c>
      <c r="AX293">
        <f t="shared" si="252"/>
        <v>-928.64648569024212</v>
      </c>
      <c r="AY293">
        <f t="shared" si="260"/>
        <v>-2.809446978245199</v>
      </c>
      <c r="BA293">
        <f t="shared" si="237"/>
        <v>1.6484032593427393</v>
      </c>
      <c r="BB293">
        <f t="shared" si="253"/>
        <v>4.341269291440323</v>
      </c>
      <c r="BC293">
        <f t="shared" si="254"/>
        <v>4.8871201645544371E-2</v>
      </c>
      <c r="BD293">
        <f t="shared" si="238"/>
        <v>-177.19988640277791</v>
      </c>
      <c r="BF293">
        <f t="shared" si="239"/>
        <v>-32.801869350652709</v>
      </c>
      <c r="BG293">
        <f t="shared" si="240"/>
        <v>-162.26402720585929</v>
      </c>
      <c r="BH293">
        <f t="shared" si="255"/>
        <v>17.735972794140707</v>
      </c>
      <c r="BI293">
        <f t="shared" si="256"/>
        <v>17.735972794140707</v>
      </c>
      <c r="BJ293">
        <f t="shared" si="241"/>
        <v>0</v>
      </c>
      <c r="BK293">
        <f t="shared" si="257"/>
        <v>0</v>
      </c>
      <c r="BM293">
        <f t="shared" si="258"/>
        <v>-37.143138642093028</v>
      </c>
      <c r="BN293">
        <f t="shared" si="242"/>
        <v>-165.06414080308139</v>
      </c>
      <c r="BQ293" s="56">
        <f t="shared" si="259"/>
        <v>21.243230091725458</v>
      </c>
      <c r="BR293" s="59"/>
      <c r="BS293" s="59"/>
      <c r="BT293" s="59">
        <v>67608.297999999995</v>
      </c>
      <c r="BU293" s="59">
        <v>2.9581400000000002</v>
      </c>
      <c r="BV293" s="59">
        <v>-132.03399999999999</v>
      </c>
      <c r="BY293" s="59"/>
      <c r="BZ293" s="59"/>
      <c r="CA293" s="59"/>
      <c r="CC293" s="59"/>
    </row>
    <row r="294" spans="1:81" x14ac:dyDescent="0.2">
      <c r="A294">
        <f t="shared" si="211"/>
        <v>400000</v>
      </c>
      <c r="B294">
        <f t="shared" si="243"/>
        <v>400</v>
      </c>
      <c r="C294">
        <f t="shared" si="212"/>
        <v>1.0310991552816915</v>
      </c>
      <c r="D294">
        <f t="shared" si="213"/>
        <v>0.24622760133479116</v>
      </c>
      <c r="F294">
        <f t="shared" si="214"/>
        <v>8.7667390993837835E-4</v>
      </c>
      <c r="G294">
        <f t="shared" si="215"/>
        <v>1.7191481239173446E-2</v>
      </c>
      <c r="H294">
        <f t="shared" si="216"/>
        <v>-3.1244011687608269</v>
      </c>
      <c r="J294">
        <f t="shared" si="217"/>
        <v>15</v>
      </c>
      <c r="M294">
        <f t="shared" si="218"/>
        <v>1.9944228480420602E-3</v>
      </c>
      <c r="N294">
        <f t="shared" si="219"/>
        <v>-1.5707963250000001</v>
      </c>
      <c r="O294">
        <f t="shared" si="220"/>
        <v>45.249985236824273</v>
      </c>
      <c r="P294">
        <f t="shared" si="221"/>
        <v>1.5486950728318292</v>
      </c>
      <c r="Q294">
        <f t="shared" si="222"/>
        <v>47.610909476393452</v>
      </c>
      <c r="R294">
        <f t="shared" si="223"/>
        <v>1.5497911926622536</v>
      </c>
      <c r="S294">
        <f t="shared" si="224"/>
        <v>0.99508381441081195</v>
      </c>
      <c r="T294">
        <f t="shared" si="225"/>
        <v>-9.9198982103345948E-2</v>
      </c>
      <c r="U294">
        <f t="shared" si="226"/>
        <v>0.3872263801692386</v>
      </c>
      <c r="V294">
        <f t="shared" si="227"/>
        <v>-1.1731749559840903</v>
      </c>
      <c r="X294">
        <f t="shared" si="244"/>
        <v>-32.976069380564631</v>
      </c>
      <c r="Y294">
        <f t="shared" si="228"/>
        <v>-150.27866891128934</v>
      </c>
      <c r="Z294">
        <f t="shared" si="245"/>
        <v>29.721331088710656</v>
      </c>
      <c r="AC294">
        <v>1</v>
      </c>
      <c r="AD294">
        <f t="shared" si="229"/>
        <v>45.238934160000007</v>
      </c>
      <c r="AE294">
        <f t="shared" si="230"/>
        <v>-0.11369784244071197</v>
      </c>
      <c r="AF294">
        <f t="shared" si="231"/>
        <v>4.775220828E-2</v>
      </c>
      <c r="AG294">
        <f t="shared" si="246"/>
        <v>134.57602027054517</v>
      </c>
      <c r="AH294">
        <f t="shared" si="247"/>
        <v>-341.36647782728483</v>
      </c>
      <c r="AJ294">
        <f t="shared" si="232"/>
        <v>10500</v>
      </c>
      <c r="AK294">
        <f t="shared" si="233"/>
        <v>1045.0193790960002</v>
      </c>
      <c r="AL294">
        <v>1</v>
      </c>
      <c r="AM294">
        <f t="shared" si="234"/>
        <v>47.600406523152003</v>
      </c>
      <c r="AN294">
        <f t="shared" si="248"/>
        <v>26.576399235831957</v>
      </c>
      <c r="AO294">
        <f t="shared" si="249"/>
        <v>-220.02802845118725</v>
      </c>
      <c r="AQ294">
        <f t="shared" si="235"/>
        <v>1.5624975585975647E-2</v>
      </c>
      <c r="AR294">
        <f t="shared" si="236"/>
        <v>-12.499980468780517</v>
      </c>
      <c r="AT294">
        <f t="shared" si="261"/>
        <v>-4264.9715585062731</v>
      </c>
      <c r="AU294">
        <f t="shared" si="262"/>
        <v>-1687.5314678299474</v>
      </c>
      <c r="AV294">
        <f t="shared" si="250"/>
        <v>-2.7648225373930955</v>
      </c>
      <c r="AW294">
        <f t="shared" si="251"/>
        <v>-2624.5452066552166</v>
      </c>
      <c r="AX294">
        <f t="shared" si="252"/>
        <v>-916.37830433836643</v>
      </c>
      <c r="AY294">
        <f t="shared" si="260"/>
        <v>-2.805669042702013</v>
      </c>
      <c r="BA294">
        <f t="shared" si="237"/>
        <v>1.6499333755711201</v>
      </c>
      <c r="BB294">
        <f t="shared" si="253"/>
        <v>4.3493281545083597</v>
      </c>
      <c r="BC294">
        <f t="shared" si="254"/>
        <v>4.0846505308917536E-2</v>
      </c>
      <c r="BD294">
        <f t="shared" si="238"/>
        <v>-177.65966763526609</v>
      </c>
      <c r="BF294">
        <f t="shared" si="239"/>
        <v>-33.006076402651388</v>
      </c>
      <c r="BG294">
        <f t="shared" si="240"/>
        <v>-162.56686594332376</v>
      </c>
      <c r="BH294">
        <f t="shared" si="255"/>
        <v>17.433134056676238</v>
      </c>
      <c r="BI294">
        <f t="shared" si="256"/>
        <v>17.433134056676238</v>
      </c>
      <c r="BJ294">
        <f t="shared" si="241"/>
        <v>0</v>
      </c>
      <c r="BK294">
        <f t="shared" si="257"/>
        <v>0</v>
      </c>
      <c r="BM294">
        <f t="shared" si="258"/>
        <v>-37.355404557159744</v>
      </c>
      <c r="BN294">
        <f t="shared" si="242"/>
        <v>-164.90719830805767</v>
      </c>
      <c r="BQ294" s="56">
        <f t="shared" si="259"/>
        <v>21.251288954793495</v>
      </c>
      <c r="BR294" s="59"/>
      <c r="BS294" s="59"/>
      <c r="BT294" s="59">
        <v>69183.096999999994</v>
      </c>
      <c r="BU294" s="59">
        <v>3.15646</v>
      </c>
      <c r="BV294" s="59">
        <v>-131.40799999999999</v>
      </c>
      <c r="BY294" s="59"/>
      <c r="BZ294" s="59"/>
      <c r="CA294" s="59"/>
      <c r="CC294" s="59"/>
    </row>
    <row r="295" spans="1:81" x14ac:dyDescent="0.2">
      <c r="A295">
        <f t="shared" si="211"/>
        <v>405000</v>
      </c>
      <c r="B295">
        <f t="shared" si="243"/>
        <v>405</v>
      </c>
      <c r="C295">
        <f t="shared" si="212"/>
        <v>1.0318694075935975</v>
      </c>
      <c r="D295">
        <f t="shared" si="213"/>
        <v>0.24918034220486179</v>
      </c>
      <c r="F295">
        <f t="shared" si="214"/>
        <v>8.5514559845804839E-4</v>
      </c>
      <c r="G295">
        <f t="shared" si="215"/>
        <v>1.6978909224451364E-2</v>
      </c>
      <c r="H295">
        <f t="shared" si="216"/>
        <v>-3.124613740775549</v>
      </c>
      <c r="J295">
        <f t="shared" si="217"/>
        <v>15</v>
      </c>
      <c r="M295">
        <f t="shared" si="218"/>
        <v>1.9698003437452444E-3</v>
      </c>
      <c r="N295">
        <f t="shared" si="219"/>
        <v>-1.5707963250000001</v>
      </c>
      <c r="O295">
        <f t="shared" si="220"/>
        <v>45.815335513482808</v>
      </c>
      <c r="P295">
        <f t="shared" si="221"/>
        <v>1.5489678406120986</v>
      </c>
      <c r="Q295">
        <f t="shared" si="222"/>
        <v>48.205784919920376</v>
      </c>
      <c r="R295">
        <f t="shared" si="223"/>
        <v>1.550050440440591</v>
      </c>
      <c r="S295">
        <f t="shared" si="224"/>
        <v>0.9949610748330604</v>
      </c>
      <c r="T295">
        <f t="shared" si="225"/>
        <v>-0.10043069906117111</v>
      </c>
      <c r="U295">
        <f t="shared" si="226"/>
        <v>0.38315135486296947</v>
      </c>
      <c r="V295">
        <f t="shared" si="227"/>
        <v>-1.1775907162747807</v>
      </c>
      <c r="X295">
        <f t="shared" si="244"/>
        <v>-33.170704886502804</v>
      </c>
      <c r="Y295">
        <f t="shared" si="228"/>
        <v>-150.41476316597283</v>
      </c>
      <c r="Z295">
        <f t="shared" si="245"/>
        <v>29.585236834027171</v>
      </c>
      <c r="AC295">
        <v>1</v>
      </c>
      <c r="AD295">
        <f t="shared" si="229"/>
        <v>45.804420837000002</v>
      </c>
      <c r="AE295">
        <f t="shared" si="230"/>
        <v>-0.11655805378961112</v>
      </c>
      <c r="AF295">
        <f t="shared" si="231"/>
        <v>4.8349110883500003E-2</v>
      </c>
      <c r="AG295">
        <f t="shared" si="246"/>
        <v>131.75846891301558</v>
      </c>
      <c r="AH295">
        <f t="shared" si="247"/>
        <v>-338.32081723724866</v>
      </c>
      <c r="AJ295">
        <f t="shared" si="232"/>
        <v>10500</v>
      </c>
      <c r="AK295">
        <f t="shared" si="233"/>
        <v>1058.0821213347001</v>
      </c>
      <c r="AL295">
        <v>1</v>
      </c>
      <c r="AM295">
        <f t="shared" si="234"/>
        <v>48.195411604691408</v>
      </c>
      <c r="AN295">
        <f t="shared" si="248"/>
        <v>26.463019287790193</v>
      </c>
      <c r="AO295">
        <f t="shared" si="249"/>
        <v>-217.31398554323587</v>
      </c>
      <c r="AQ295">
        <f t="shared" si="235"/>
        <v>1.524155579704954E-2</v>
      </c>
      <c r="AR295">
        <f t="shared" si="236"/>
        <v>-12.345660195610128</v>
      </c>
      <c r="AT295">
        <f t="shared" si="261"/>
        <v>-4174.7856426565177</v>
      </c>
      <c r="AU295">
        <f t="shared" si="262"/>
        <v>-1631.8018207071757</v>
      </c>
      <c r="AV295">
        <f t="shared" si="250"/>
        <v>-2.7689809619784658</v>
      </c>
      <c r="AW295">
        <f t="shared" si="251"/>
        <v>-2559.2773546256312</v>
      </c>
      <c r="AX295">
        <f t="shared" si="252"/>
        <v>-904.44342405384157</v>
      </c>
      <c r="AY295">
        <f t="shared" si="260"/>
        <v>-2.8018939017356876</v>
      </c>
      <c r="BA295">
        <f t="shared" si="237"/>
        <v>1.6513342509194167</v>
      </c>
      <c r="BB295">
        <f t="shared" si="253"/>
        <v>4.3566997770358391</v>
      </c>
      <c r="BC295">
        <f t="shared" si="254"/>
        <v>3.2912939757221871E-2</v>
      </c>
      <c r="BD295">
        <f t="shared" si="238"/>
        <v>-178.11422745838806</v>
      </c>
      <c r="BF295">
        <f t="shared" si="239"/>
        <v>-33.208179010420203</v>
      </c>
      <c r="BG295">
        <f t="shared" si="240"/>
        <v>-162.86442565570164</v>
      </c>
      <c r="BH295">
        <f t="shared" si="255"/>
        <v>17.135574344298362</v>
      </c>
      <c r="BI295">
        <f t="shared" si="256"/>
        <v>17.135574344298362</v>
      </c>
      <c r="BJ295">
        <f t="shared" si="241"/>
        <v>0</v>
      </c>
      <c r="BK295">
        <f t="shared" si="257"/>
        <v>0</v>
      </c>
      <c r="BM295">
        <f t="shared" si="258"/>
        <v>-37.564878787456038</v>
      </c>
      <c r="BN295">
        <f t="shared" si="242"/>
        <v>-164.75019819731361</v>
      </c>
      <c r="BQ295" s="56">
        <f t="shared" si="259"/>
        <v>21.258660577320974</v>
      </c>
      <c r="BR295" s="59"/>
      <c r="BS295" s="59"/>
      <c r="BT295" s="59">
        <v>70794.577999999994</v>
      </c>
      <c r="BU295" s="59">
        <v>3.32565</v>
      </c>
      <c r="BV295" s="59">
        <v>-131.172</v>
      </c>
      <c r="BY295" s="59"/>
      <c r="BZ295" s="59"/>
      <c r="CA295" s="59"/>
      <c r="CC295" s="59"/>
    </row>
    <row r="296" spans="1:81" x14ac:dyDescent="0.2">
      <c r="A296">
        <f t="shared" si="211"/>
        <v>410000</v>
      </c>
      <c r="B296">
        <f t="shared" si="243"/>
        <v>410</v>
      </c>
      <c r="C296">
        <f t="shared" si="212"/>
        <v>1.0326486429765269</v>
      </c>
      <c r="D296">
        <f t="shared" si="213"/>
        <v>0.25212865247896732</v>
      </c>
      <c r="F296">
        <f t="shared" si="214"/>
        <v>8.3440084152298563E-4</v>
      </c>
      <c r="G296">
        <f t="shared" si="215"/>
        <v>1.6771533810722619E-2</v>
      </c>
      <c r="H296">
        <f t="shared" si="216"/>
        <v>-3.1248211161892776</v>
      </c>
      <c r="J296">
        <f t="shared" si="217"/>
        <v>15</v>
      </c>
      <c r="M296">
        <f t="shared" si="218"/>
        <v>1.9457783883337172E-3</v>
      </c>
      <c r="N296">
        <f t="shared" si="219"/>
        <v>-1.5707963250000001</v>
      </c>
      <c r="O296">
        <f t="shared" si="220"/>
        <v>46.380689115804579</v>
      </c>
      <c r="P296">
        <f t="shared" si="221"/>
        <v>1.5492339586508386</v>
      </c>
      <c r="Q296">
        <f t="shared" si="222"/>
        <v>48.800663524341843</v>
      </c>
      <c r="R296">
        <f t="shared" si="223"/>
        <v>1.5503033677905145</v>
      </c>
      <c r="S296">
        <f t="shared" si="224"/>
        <v>0.99483685679663303</v>
      </c>
      <c r="T296">
        <f t="shared" si="225"/>
        <v>-0.10166211033415784</v>
      </c>
      <c r="U296">
        <f t="shared" si="226"/>
        <v>0.37915404079370973</v>
      </c>
      <c r="V296">
        <f t="shared" si="227"/>
        <v>-1.1819144225578322</v>
      </c>
      <c r="X296">
        <f t="shared" si="244"/>
        <v>-33.363151480000923</v>
      </c>
      <c r="Y296">
        <f t="shared" si="228"/>
        <v>-150.54626484721706</v>
      </c>
      <c r="Z296">
        <f t="shared" si="245"/>
        <v>29.45373515278294</v>
      </c>
      <c r="AC296">
        <v>1</v>
      </c>
      <c r="AD296">
        <f t="shared" si="229"/>
        <v>46.369907514000005</v>
      </c>
      <c r="AE296">
        <f t="shared" si="230"/>
        <v>-0.11945379571427303</v>
      </c>
      <c r="AF296">
        <f t="shared" si="231"/>
        <v>4.8946013486999999E-2</v>
      </c>
      <c r="AG296">
        <f t="shared" si="246"/>
        <v>129.02360907109184</v>
      </c>
      <c r="AH296">
        <f t="shared" si="247"/>
        <v>-335.31555832745266</v>
      </c>
      <c r="AJ296">
        <f t="shared" si="232"/>
        <v>10500</v>
      </c>
      <c r="AK296">
        <f t="shared" si="233"/>
        <v>1071.1448635734</v>
      </c>
      <c r="AL296">
        <v>1</v>
      </c>
      <c r="AM296">
        <f t="shared" si="234"/>
        <v>48.790416686230806</v>
      </c>
      <c r="AN296">
        <f t="shared" si="248"/>
        <v>26.353759718749458</v>
      </c>
      <c r="AO296">
        <f t="shared" si="249"/>
        <v>-214.66605435319082</v>
      </c>
      <c r="AQ296">
        <f t="shared" si="235"/>
        <v>1.4872077822608831E-2</v>
      </c>
      <c r="AR296">
        <f t="shared" si="236"/>
        <v>-12.195103814539241</v>
      </c>
      <c r="AT296">
        <f t="shared" si="261"/>
        <v>-4087.2891952784144</v>
      </c>
      <c r="AU296">
        <f t="shared" si="262"/>
        <v>-1578.4431462270693</v>
      </c>
      <c r="AV296">
        <f t="shared" si="250"/>
        <v>-2.7730536059062216</v>
      </c>
      <c r="AW296">
        <f t="shared" si="251"/>
        <v>-2496.3958196783315</v>
      </c>
      <c r="AX296">
        <f t="shared" si="252"/>
        <v>-892.82788598633863</v>
      </c>
      <c r="AY296">
        <f t="shared" si="260"/>
        <v>-2.7981218809057635</v>
      </c>
      <c r="BA296">
        <f t="shared" si="237"/>
        <v>1.6526104028903139</v>
      </c>
      <c r="BB296">
        <f t="shared" si="253"/>
        <v>4.3634096447202531</v>
      </c>
      <c r="BC296">
        <f t="shared" si="254"/>
        <v>2.5068274999541895E-2</v>
      </c>
      <c r="BD296">
        <f t="shared" si="238"/>
        <v>-178.56369364121173</v>
      </c>
      <c r="BF296">
        <f t="shared" si="239"/>
        <v>-33.408218932547499</v>
      </c>
      <c r="BG296">
        <f t="shared" si="240"/>
        <v>-163.15684783892598</v>
      </c>
      <c r="BH296">
        <f t="shared" si="255"/>
        <v>16.843152161074016</v>
      </c>
      <c r="BI296">
        <f t="shared" si="256"/>
        <v>16.843152161074016</v>
      </c>
      <c r="BJ296">
        <f t="shared" si="241"/>
        <v>0</v>
      </c>
      <c r="BK296">
        <f t="shared" si="257"/>
        <v>0</v>
      </c>
      <c r="BM296">
        <f t="shared" si="258"/>
        <v>-37.771628577267755</v>
      </c>
      <c r="BN296">
        <f t="shared" si="242"/>
        <v>-164.59315419771431</v>
      </c>
      <c r="BQ296" s="56">
        <f t="shared" si="259"/>
        <v>21.265370445005392</v>
      </c>
      <c r="BR296" s="59"/>
      <c r="BS296" s="59"/>
      <c r="BT296" s="59">
        <v>72443.596000000005</v>
      </c>
      <c r="BU296" s="59">
        <v>3.4992100000000002</v>
      </c>
      <c r="BV296" s="59">
        <v>-130.929</v>
      </c>
      <c r="BY296" s="59"/>
      <c r="BZ296" s="59"/>
      <c r="CA296" s="59"/>
      <c r="CC296" s="59"/>
    </row>
    <row r="297" spans="1:81" x14ac:dyDescent="0.2">
      <c r="A297">
        <f t="shared" si="211"/>
        <v>415000</v>
      </c>
      <c r="B297">
        <f t="shared" si="243"/>
        <v>415</v>
      </c>
      <c r="C297">
        <f t="shared" si="212"/>
        <v>1.0334368411101478</v>
      </c>
      <c r="D297">
        <f t="shared" si="213"/>
        <v>0.25507249098129459</v>
      </c>
      <c r="F297">
        <f t="shared" si="214"/>
        <v>8.1440206199578761E-4</v>
      </c>
      <c r="G297">
        <f t="shared" si="215"/>
        <v>1.6569166604426505E-2</v>
      </c>
      <c r="H297">
        <f t="shared" si="216"/>
        <v>-3.1250234833955739</v>
      </c>
      <c r="J297">
        <f t="shared" si="217"/>
        <v>15</v>
      </c>
      <c r="M297">
        <f t="shared" si="218"/>
        <v>1.9223352752212629E-3</v>
      </c>
      <c r="N297">
        <f t="shared" si="219"/>
        <v>-1.5707963250000001</v>
      </c>
      <c r="O297">
        <f t="shared" si="220"/>
        <v>46.946045923640426</v>
      </c>
      <c r="P297">
        <f t="shared" si="221"/>
        <v>1.5494936671520412</v>
      </c>
      <c r="Q297">
        <f t="shared" si="222"/>
        <v>49.395545175456363</v>
      </c>
      <c r="R297">
        <f t="shared" si="223"/>
        <v>1.5505502030340832</v>
      </c>
      <c r="S297">
        <f t="shared" si="224"/>
        <v>0.9947111619851533</v>
      </c>
      <c r="T297">
        <f t="shared" si="225"/>
        <v>-0.10289321230293014</v>
      </c>
      <c r="U297">
        <f t="shared" si="226"/>
        <v>0.37523247244337543</v>
      </c>
      <c r="V297">
        <f t="shared" si="227"/>
        <v>-1.1861487669528743</v>
      </c>
      <c r="X297">
        <f t="shared" si="244"/>
        <v>-33.553451852025297</v>
      </c>
      <c r="Y297">
        <f t="shared" si="228"/>
        <v>-150.67331430353096</v>
      </c>
      <c r="Z297">
        <f t="shared" si="245"/>
        <v>29.326685696469042</v>
      </c>
      <c r="AC297">
        <v>1</v>
      </c>
      <c r="AD297">
        <f t="shared" si="229"/>
        <v>46.935394191</v>
      </c>
      <c r="AE297">
        <f t="shared" si="230"/>
        <v>-0.12238506821469763</v>
      </c>
      <c r="AF297">
        <f t="shared" si="231"/>
        <v>4.9542916090500003E-2</v>
      </c>
      <c r="AG297">
        <f t="shared" si="246"/>
        <v>126.36844408258659</v>
      </c>
      <c r="AH297">
        <f t="shared" si="247"/>
        <v>-332.35045388032563</v>
      </c>
      <c r="AJ297">
        <f t="shared" si="232"/>
        <v>10500</v>
      </c>
      <c r="AK297">
        <f t="shared" si="233"/>
        <v>1084.2076058121002</v>
      </c>
      <c r="AL297">
        <v>1</v>
      </c>
      <c r="AM297">
        <f t="shared" si="234"/>
        <v>49.385421767770204</v>
      </c>
      <c r="AN297">
        <f t="shared" si="248"/>
        <v>26.248423293870804</v>
      </c>
      <c r="AO297">
        <f t="shared" si="249"/>
        <v>-212.0818492946735</v>
      </c>
      <c r="AQ297">
        <f t="shared" si="235"/>
        <v>1.4515873833830985E-2</v>
      </c>
      <c r="AR297">
        <f t="shared" si="236"/>
        <v>-12.048175282079718</v>
      </c>
      <c r="AT297">
        <f t="shared" si="261"/>
        <v>-4002.3821750380343</v>
      </c>
      <c r="AU297">
        <f t="shared" si="262"/>
        <v>-1527.3335216878361</v>
      </c>
      <c r="AV297">
        <f t="shared" si="250"/>
        <v>-2.7770429346964853</v>
      </c>
      <c r="AW297">
        <f t="shared" si="251"/>
        <v>-2435.7856715033113</v>
      </c>
      <c r="AX297">
        <f t="shared" si="252"/>
        <v>-881.51852561902899</v>
      </c>
      <c r="AY297">
        <f t="shared" si="260"/>
        <v>-2.7943532892580798</v>
      </c>
      <c r="BA297">
        <f t="shared" si="237"/>
        <v>1.6537661535290908</v>
      </c>
      <c r="BB297">
        <f t="shared" si="253"/>
        <v>4.3694819856863267</v>
      </c>
      <c r="BC297">
        <f t="shared" si="254"/>
        <v>1.7310354561594465E-2</v>
      </c>
      <c r="BD297">
        <f t="shared" si="238"/>
        <v>-179.00818974061229</v>
      </c>
      <c r="BF297">
        <f t="shared" si="239"/>
        <v>-33.606236747392813</v>
      </c>
      <c r="BG297">
        <f t="shared" si="240"/>
        <v>-163.44426920322826</v>
      </c>
      <c r="BH297">
        <f t="shared" si="255"/>
        <v>16.555730796771741</v>
      </c>
      <c r="BI297">
        <f t="shared" si="256"/>
        <v>16.555730796771741</v>
      </c>
      <c r="BJ297">
        <f t="shared" si="241"/>
        <v>0</v>
      </c>
      <c r="BK297">
        <f t="shared" si="257"/>
        <v>0</v>
      </c>
      <c r="BM297">
        <f t="shared" si="258"/>
        <v>-37.975718733079141</v>
      </c>
      <c r="BN297">
        <f t="shared" si="242"/>
        <v>-164.43607946261596</v>
      </c>
      <c r="BQ297" s="56">
        <f t="shared" si="259"/>
        <v>21.271442785971463</v>
      </c>
      <c r="BR297" s="59"/>
      <c r="BS297" s="59"/>
      <c r="BT297" s="59">
        <v>74131.024000000005</v>
      </c>
      <c r="BU297" s="59">
        <v>3.6540400000000002</v>
      </c>
      <c r="BV297" s="59">
        <v>-130.88900000000001</v>
      </c>
      <c r="BY297" s="59"/>
      <c r="BZ297" s="59"/>
      <c r="CA297" s="59"/>
      <c r="CC297" s="59"/>
    </row>
    <row r="298" spans="1:81" x14ac:dyDescent="0.2">
      <c r="A298">
        <f t="shared" si="211"/>
        <v>420000</v>
      </c>
      <c r="B298">
        <f t="shared" si="243"/>
        <v>420</v>
      </c>
      <c r="C298">
        <f t="shared" si="212"/>
        <v>1.0342339815027042</v>
      </c>
      <c r="D298">
        <f t="shared" si="213"/>
        <v>0.25801181697085707</v>
      </c>
      <c r="F298">
        <f t="shared" si="214"/>
        <v>7.951139091409103E-4</v>
      </c>
      <c r="G298">
        <f t="shared" si="215"/>
        <v>1.6371628216175313E-2</v>
      </c>
      <c r="H298">
        <f t="shared" si="216"/>
        <v>-3.1252210217838248</v>
      </c>
      <c r="J298">
        <f t="shared" si="217"/>
        <v>15</v>
      </c>
      <c r="M298">
        <f t="shared" si="218"/>
        <v>1.8994503314686286E-3</v>
      </c>
      <c r="N298">
        <f t="shared" si="219"/>
        <v>-1.5707963250000001</v>
      </c>
      <c r="O298">
        <f t="shared" si="220"/>
        <v>47.511405822559368</v>
      </c>
      <c r="P298">
        <f t="shared" si="221"/>
        <v>1.5497471948900674</v>
      </c>
      <c r="Q298">
        <f t="shared" si="222"/>
        <v>49.990429764497804</v>
      </c>
      <c r="R298">
        <f t="shared" si="223"/>
        <v>1.5507911636283078</v>
      </c>
      <c r="S298">
        <f t="shared" si="224"/>
        <v>0.99458399210111526</v>
      </c>
      <c r="T298">
        <f t="shared" si="225"/>
        <v>-0.10412400135368015</v>
      </c>
      <c r="U298">
        <f t="shared" si="226"/>
        <v>0.3713847391245072</v>
      </c>
      <c r="V298">
        <f t="shared" si="227"/>
        <v>-1.1902963442663286</v>
      </c>
      <c r="X298">
        <f t="shared" si="244"/>
        <v>-33.741647503292185</v>
      </c>
      <c r="Y298">
        <f t="shared" si="228"/>
        <v>-150.79604704468233</v>
      </c>
      <c r="Z298">
        <f t="shared" si="245"/>
        <v>29.203952955317675</v>
      </c>
      <c r="AC298">
        <v>1</v>
      </c>
      <c r="AD298">
        <f t="shared" si="229"/>
        <v>47.500880868000003</v>
      </c>
      <c r="AE298">
        <f t="shared" si="230"/>
        <v>-0.12535187129088496</v>
      </c>
      <c r="AF298">
        <f t="shared" si="231"/>
        <v>5.0139818693999999E-2</v>
      </c>
      <c r="AG298">
        <f t="shared" si="246"/>
        <v>123.79010061851338</v>
      </c>
      <c r="AH298">
        <f t="shared" si="247"/>
        <v>-329.42521911819637</v>
      </c>
      <c r="AJ298">
        <f t="shared" si="232"/>
        <v>10500</v>
      </c>
      <c r="AK298">
        <f t="shared" si="233"/>
        <v>1097.2703480508003</v>
      </c>
      <c r="AL298">
        <v>1</v>
      </c>
      <c r="AM298">
        <f t="shared" si="234"/>
        <v>49.980426849309602</v>
      </c>
      <c r="AN298">
        <f t="shared" si="248"/>
        <v>26.146824438659436</v>
      </c>
      <c r="AO298">
        <f t="shared" si="249"/>
        <v>-209.55909814735841</v>
      </c>
      <c r="AQ298">
        <f t="shared" si="235"/>
        <v>1.4172315515425856E-2</v>
      </c>
      <c r="AR298">
        <f t="shared" si="236"/>
        <v>-11.90474503295772</v>
      </c>
      <c r="AT298">
        <f t="shared" si="261"/>
        <v>-3919.9688486647051</v>
      </c>
      <c r="AU298">
        <f t="shared" si="262"/>
        <v>-1478.358303611665</v>
      </c>
      <c r="AV298">
        <f t="shared" si="250"/>
        <v>-2.7809513273379722</v>
      </c>
      <c r="AW298">
        <f t="shared" si="251"/>
        <v>-2377.3388135766654</v>
      </c>
      <c r="AX298">
        <f t="shared" si="252"/>
        <v>-870.50291589494418</v>
      </c>
      <c r="AY298">
        <f t="shared" si="260"/>
        <v>-2.790588420354478</v>
      </c>
      <c r="BA298">
        <f t="shared" si="237"/>
        <v>1.6548056393255339</v>
      </c>
      <c r="BB298">
        <f t="shared" si="253"/>
        <v>4.3749398447086492</v>
      </c>
      <c r="BC298">
        <f t="shared" si="254"/>
        <v>9.6370930165057267E-3</v>
      </c>
      <c r="BD298">
        <f t="shared" si="238"/>
        <v>-179.44783524274828</v>
      </c>
      <c r="BF298">
        <f t="shared" si="239"/>
        <v>-33.802271896125575</v>
      </c>
      <c r="BG298">
        <f t="shared" si="240"/>
        <v>-163.72682184730829</v>
      </c>
      <c r="BH298">
        <f t="shared" si="255"/>
        <v>16.273178152691713</v>
      </c>
      <c r="BI298">
        <f t="shared" si="256"/>
        <v>16.273178152691713</v>
      </c>
      <c r="BJ298">
        <f t="shared" si="241"/>
        <v>0</v>
      </c>
      <c r="BK298">
        <f t="shared" si="257"/>
        <v>0</v>
      </c>
      <c r="BM298">
        <f t="shared" si="258"/>
        <v>-38.177211740834224</v>
      </c>
      <c r="BN298">
        <f t="shared" si="242"/>
        <v>-164.27898660456</v>
      </c>
      <c r="BQ298" s="56">
        <f t="shared" si="259"/>
        <v>21.276900644993788</v>
      </c>
      <c r="BR298" s="59"/>
      <c r="BS298" s="59"/>
      <c r="BT298" s="59">
        <v>75857.758000000002</v>
      </c>
      <c r="BU298" s="59">
        <v>3.8307899999999999</v>
      </c>
      <c r="BV298" s="59">
        <v>-130.62200000000001</v>
      </c>
      <c r="BY298" s="59"/>
      <c r="BZ298" s="59"/>
      <c r="CA298" s="59"/>
      <c r="CC298" s="59"/>
    </row>
    <row r="299" spans="1:81" x14ac:dyDescent="0.2">
      <c r="A299">
        <f t="shared" si="211"/>
        <v>425000</v>
      </c>
      <c r="B299">
        <f t="shared" si="243"/>
        <v>425</v>
      </c>
      <c r="C299">
        <f t="shared" si="212"/>
        <v>1.035040043493443</v>
      </c>
      <c r="D299">
        <f t="shared" si="213"/>
        <v>0.26094659014335631</v>
      </c>
      <c r="F299">
        <f t="shared" si="214"/>
        <v>7.7650310215230495E-4</v>
      </c>
      <c r="G299">
        <f t="shared" si="215"/>
        <v>1.6178747728801835E-2</v>
      </c>
      <c r="H299">
        <f t="shared" si="216"/>
        <v>-3.1254139022711982</v>
      </c>
      <c r="J299">
        <f t="shared" si="217"/>
        <v>15</v>
      </c>
      <c r="M299">
        <f t="shared" si="218"/>
        <v>1.8771038569807626E-3</v>
      </c>
      <c r="N299">
        <f t="shared" si="219"/>
        <v>-1.5707963250000001</v>
      </c>
      <c r="O299">
        <f t="shared" si="220"/>
        <v>48.0767687035124</v>
      </c>
      <c r="P299">
        <f t="shared" si="221"/>
        <v>1.5499947598813788</v>
      </c>
      <c r="Q299">
        <f t="shared" si="222"/>
        <v>50.585317187815882</v>
      </c>
      <c r="R299">
        <f t="shared" si="223"/>
        <v>1.5510264568037559</v>
      </c>
      <c r="S299">
        <f t="shared" si="224"/>
        <v>0.99445534886581943</v>
      </c>
      <c r="T299">
        <f t="shared" si="225"/>
        <v>-0.10535447387822913</v>
      </c>
      <c r="U299">
        <f t="shared" si="226"/>
        <v>0.36760898376027273</v>
      </c>
      <c r="V299">
        <f t="shared" si="227"/>
        <v>-1.1943596559928356</v>
      </c>
      <c r="X299">
        <f t="shared" si="244"/>
        <v>-33.927778787456567</v>
      </c>
      <c r="Y299">
        <f t="shared" si="228"/>
        <v>-150.91459392626186</v>
      </c>
      <c r="Z299">
        <f t="shared" si="245"/>
        <v>29.085406073738142</v>
      </c>
      <c r="AC299">
        <v>1</v>
      </c>
      <c r="AD299">
        <f t="shared" si="229"/>
        <v>48.066367545000006</v>
      </c>
      <c r="AE299">
        <f t="shared" si="230"/>
        <v>-0.128354204942835</v>
      </c>
      <c r="AF299">
        <f t="shared" si="231"/>
        <v>5.0736721297499995E-2</v>
      </c>
      <c r="AG299">
        <f t="shared" si="246"/>
        <v>121.28582338218381</v>
      </c>
      <c r="AH299">
        <f t="shared" si="247"/>
        <v>-326.53953600808768</v>
      </c>
      <c r="AJ299">
        <f t="shared" si="232"/>
        <v>10500</v>
      </c>
      <c r="AK299">
        <f t="shared" si="233"/>
        <v>1110.3330902895002</v>
      </c>
      <c r="AL299">
        <v>1</v>
      </c>
      <c r="AM299">
        <f t="shared" si="234"/>
        <v>50.575431930849</v>
      </c>
      <c r="AN299">
        <f t="shared" si="248"/>
        <v>26.048788421527366</v>
      </c>
      <c r="AO299">
        <f t="shared" si="249"/>
        <v>-207.09563540454468</v>
      </c>
      <c r="AQ299">
        <f t="shared" si="235"/>
        <v>1.384081129299475E-2</v>
      </c>
      <c r="AR299">
        <f t="shared" si="236"/>
        <v>-11.764689599045537</v>
      </c>
      <c r="AT299">
        <f t="shared" si="261"/>
        <v>-3839.9575887575566</v>
      </c>
      <c r="AU299">
        <f t="shared" si="262"/>
        <v>-1431.4096369536419</v>
      </c>
      <c r="AV299">
        <f t="shared" si="250"/>
        <v>-2.7847810796557919</v>
      </c>
      <c r="AW299">
        <f t="shared" si="251"/>
        <v>-2320.9535016541527</v>
      </c>
      <c r="AX299">
        <f t="shared" si="252"/>
        <v>-859.76931520416792</v>
      </c>
      <c r="AY299">
        <f t="shared" si="260"/>
        <v>-2.7868275532263325</v>
      </c>
      <c r="BA299">
        <f t="shared" si="237"/>
        <v>1.655732820581046</v>
      </c>
      <c r="BB299">
        <f t="shared" si="253"/>
        <v>4.3798051524934465</v>
      </c>
      <c r="BC299">
        <f t="shared" si="254"/>
        <v>2.0464735705405523E-3</v>
      </c>
      <c r="BD299">
        <f t="shared" si="238"/>
        <v>-179.88274570138898</v>
      </c>
      <c r="BF299">
        <f t="shared" si="239"/>
        <v>-33.996362723734016</v>
      </c>
      <c r="BG299">
        <f t="shared" si="240"/>
        <v>-164.00463342703395</v>
      </c>
      <c r="BH299">
        <f t="shared" si="255"/>
        <v>15.995366572966049</v>
      </c>
      <c r="BI299">
        <f t="shared" si="256"/>
        <v>15.995366572966049</v>
      </c>
      <c r="BJ299">
        <f t="shared" si="241"/>
        <v>0</v>
      </c>
      <c r="BK299">
        <f t="shared" si="257"/>
        <v>0</v>
      </c>
      <c r="BM299">
        <f t="shared" si="258"/>
        <v>-38.376167876227463</v>
      </c>
      <c r="BN299">
        <f t="shared" si="242"/>
        <v>-164.121887725645</v>
      </c>
      <c r="BQ299" s="56">
        <f t="shared" si="259"/>
        <v>21.281765952778585</v>
      </c>
      <c r="BR299" s="59"/>
      <c r="BS299" s="59"/>
      <c r="BT299" s="59">
        <v>77624.712</v>
      </c>
      <c r="BU299" s="59">
        <v>4.0309799999999996</v>
      </c>
      <c r="BV299" s="59">
        <v>-130.36099999999999</v>
      </c>
      <c r="BY299" s="59"/>
      <c r="BZ299" s="59"/>
      <c r="CA299" s="59"/>
      <c r="CC299" s="59"/>
    </row>
    <row r="300" spans="1:81" x14ac:dyDescent="0.2">
      <c r="A300">
        <f t="shared" ref="A300:A363" si="263">A299+5000</f>
        <v>430000</v>
      </c>
      <c r="B300">
        <f t="shared" si="243"/>
        <v>430</v>
      </c>
      <c r="C300">
        <f t="shared" si="212"/>
        <v>1.0358550062550442</v>
      </c>
      <c r="D300">
        <f t="shared" si="213"/>
        <v>0.26387677063294857</v>
      </c>
      <c r="F300">
        <f t="shared" si="214"/>
        <v>7.5853828636480828E-4</v>
      </c>
      <c r="G300">
        <f t="shared" si="215"/>
        <v>1.5990362202703688E-2</v>
      </c>
      <c r="H300">
        <f t="shared" si="216"/>
        <v>-3.1256022877972964</v>
      </c>
      <c r="J300">
        <f t="shared" si="217"/>
        <v>15</v>
      </c>
      <c r="M300">
        <f t="shared" si="218"/>
        <v>1.8552770679461023E-3</v>
      </c>
      <c r="N300">
        <f t="shared" si="219"/>
        <v>-1.5707963250000001</v>
      </c>
      <c r="O300">
        <f t="shared" si="220"/>
        <v>48.642134462519827</v>
      </c>
      <c r="P300">
        <f t="shared" si="221"/>
        <v>1.550236570009452</v>
      </c>
      <c r="Q300">
        <f t="shared" si="222"/>
        <v>51.180207346578896</v>
      </c>
      <c r="R300">
        <f t="shared" si="223"/>
        <v>1.5512562801586449</v>
      </c>
      <c r="S300">
        <f t="shared" si="224"/>
        <v>0.99432523401930994</v>
      </c>
      <c r="T300">
        <f t="shared" si="225"/>
        <v>-0.10658462627408781</v>
      </c>
      <c r="U300">
        <f t="shared" si="226"/>
        <v>0.36390340163776957</v>
      </c>
      <c r="V300">
        <f t="shared" si="227"/>
        <v>-1.1983411141442812</v>
      </c>
      <c r="X300">
        <f t="shared" si="244"/>
        <v>-34.111884952318654</v>
      </c>
      <c r="Y300">
        <f t="shared" si="228"/>
        <v>-151.02908132746984</v>
      </c>
      <c r="Z300">
        <f t="shared" si="245"/>
        <v>28.970918672530161</v>
      </c>
      <c r="AC300">
        <v>1</v>
      </c>
      <c r="AD300">
        <f t="shared" si="229"/>
        <v>48.631854222000001</v>
      </c>
      <c r="AE300">
        <f t="shared" si="230"/>
        <v>-0.13139206917054774</v>
      </c>
      <c r="AF300">
        <f t="shared" si="231"/>
        <v>5.1333623900999992E-2</v>
      </c>
      <c r="AG300">
        <f t="shared" si="246"/>
        <v>118.85297001226287</v>
      </c>
      <c r="AH300">
        <f t="shared" si="247"/>
        <v>-323.6930571864923</v>
      </c>
      <c r="AJ300">
        <f t="shared" si="232"/>
        <v>10500</v>
      </c>
      <c r="AK300">
        <f t="shared" si="233"/>
        <v>1123.3958325282001</v>
      </c>
      <c r="AL300">
        <v>1</v>
      </c>
      <c r="AM300">
        <f t="shared" si="234"/>
        <v>51.170437012388405</v>
      </c>
      <c r="AN300">
        <f t="shared" si="248"/>
        <v>25.954150602431405</v>
      </c>
      <c r="AO300">
        <f t="shared" si="249"/>
        <v>-204.68939608355882</v>
      </c>
      <c r="AQ300">
        <f t="shared" si="235"/>
        <v>1.3520803784743395E-2</v>
      </c>
      <c r="AR300">
        <f t="shared" si="236"/>
        <v>-11.627891254879319</v>
      </c>
      <c r="AT300">
        <f t="shared" si="261"/>
        <v>-3762.2606812371955</v>
      </c>
      <c r="AU300">
        <f t="shared" si="262"/>
        <v>-1386.3860009347277</v>
      </c>
      <c r="AV300">
        <f t="shared" si="250"/>
        <v>-2.7885344075510106</v>
      </c>
      <c r="AW300">
        <f t="shared" si="251"/>
        <v>-2266.5339013485032</v>
      </c>
      <c r="AX300">
        <f t="shared" si="252"/>
        <v>-849.30661975401108</v>
      </c>
      <c r="AY300">
        <f t="shared" si="260"/>
        <v>-2.7830709532581155</v>
      </c>
      <c r="BA300">
        <f t="shared" si="237"/>
        <v>1.6565514902693537</v>
      </c>
      <c r="BB300">
        <f t="shared" si="253"/>
        <v>4.3840987903820627</v>
      </c>
      <c r="BC300">
        <f t="shared" si="254"/>
        <v>-5.4634542928950758E-3</v>
      </c>
      <c r="BD300">
        <f t="shared" si="238"/>
        <v>-180.31303287290322</v>
      </c>
      <c r="BF300">
        <f t="shared" si="239"/>
        <v>-34.188546518133229</v>
      </c>
      <c r="BG300">
        <f t="shared" si="240"/>
        <v>-164.27782731867023</v>
      </c>
      <c r="BH300">
        <f t="shared" si="255"/>
        <v>15.722172681329766</v>
      </c>
      <c r="BI300">
        <f t="shared" si="256"/>
        <v>15.722172681329766</v>
      </c>
      <c r="BJ300">
        <f t="shared" si="241"/>
        <v>0</v>
      </c>
      <c r="BK300">
        <f t="shared" si="257"/>
        <v>0</v>
      </c>
      <c r="BM300">
        <f t="shared" si="258"/>
        <v>-38.572645308515291</v>
      </c>
      <c r="BN300">
        <f t="shared" si="242"/>
        <v>-163.96479444576704</v>
      </c>
      <c r="BQ300" s="56">
        <f t="shared" si="259"/>
        <v>21.286059590667197</v>
      </c>
      <c r="BR300" s="59"/>
      <c r="BS300" s="59"/>
      <c r="BT300" s="59">
        <v>79432.823000000004</v>
      </c>
      <c r="BU300" s="59">
        <v>4.23407</v>
      </c>
      <c r="BV300" s="59">
        <v>-130.17400000000001</v>
      </c>
      <c r="BY300" s="59"/>
      <c r="BZ300" s="59"/>
      <c r="CA300" s="59"/>
      <c r="CC300" s="59"/>
    </row>
    <row r="301" spans="1:81" x14ac:dyDescent="0.2">
      <c r="A301">
        <f t="shared" si="263"/>
        <v>435000</v>
      </c>
      <c r="B301">
        <f t="shared" si="243"/>
        <v>435</v>
      </c>
      <c r="C301">
        <f t="shared" si="212"/>
        <v>1.0366788487960599</v>
      </c>
      <c r="D301">
        <f t="shared" si="213"/>
        <v>0.26680231901391793</v>
      </c>
      <c r="F301">
        <f t="shared" si="214"/>
        <v>7.4118990098747805E-4</v>
      </c>
      <c r="G301">
        <f t="shared" si="215"/>
        <v>1.5806316215466944E-2</v>
      </c>
      <c r="H301">
        <f t="shared" si="216"/>
        <v>-3.1257863337845331</v>
      </c>
      <c r="J301">
        <f t="shared" si="217"/>
        <v>15</v>
      </c>
      <c r="M301">
        <f t="shared" si="218"/>
        <v>1.8339520441766071E-3</v>
      </c>
      <c r="N301">
        <f t="shared" si="219"/>
        <v>-1.5707963250000001</v>
      </c>
      <c r="O301">
        <f t="shared" si="220"/>
        <v>49.207503000380107</v>
      </c>
      <c r="P301">
        <f t="shared" si="221"/>
        <v>1.5504728236066383</v>
      </c>
      <c r="Q301">
        <f t="shared" si="222"/>
        <v>51.775100146496989</v>
      </c>
      <c r="R301">
        <f t="shared" si="223"/>
        <v>1.5514808222120007</v>
      </c>
      <c r="S301">
        <f t="shared" si="224"/>
        <v>0.99419364932030918</v>
      </c>
      <c r="T301">
        <f t="shared" si="225"/>
        <v>-0.10781445494451668</v>
      </c>
      <c r="U301">
        <f t="shared" si="226"/>
        <v>0.36026623914316552</v>
      </c>
      <c r="V301">
        <f t="shared" si="227"/>
        <v>-1.2022430449131505</v>
      </c>
      <c r="X301">
        <f t="shared" si="244"/>
        <v>-34.294004179166244</v>
      </c>
      <c r="Y301">
        <f t="shared" si="228"/>
        <v>-151.13963132226445</v>
      </c>
      <c r="Z301">
        <f t="shared" si="245"/>
        <v>28.860368677735551</v>
      </c>
      <c r="AC301">
        <v>1</v>
      </c>
      <c r="AD301">
        <f t="shared" si="229"/>
        <v>49.197340899000004</v>
      </c>
      <c r="AE301">
        <f t="shared" si="230"/>
        <v>-0.13446546397402326</v>
      </c>
      <c r="AF301">
        <f t="shared" si="231"/>
        <v>5.1930526504500002E-2</v>
      </c>
      <c r="AG301">
        <f t="shared" si="246"/>
        <v>116.48900618698279</v>
      </c>
      <c r="AH301">
        <f t="shared" si="247"/>
        <v>-320.88540953578666</v>
      </c>
      <c r="AJ301">
        <f t="shared" si="232"/>
        <v>10500</v>
      </c>
      <c r="AK301">
        <f t="shared" si="233"/>
        <v>1136.4585747669003</v>
      </c>
      <c r="AL301">
        <v>1</v>
      </c>
      <c r="AM301">
        <f t="shared" si="234"/>
        <v>51.765442093927803</v>
      </c>
      <c r="AN301">
        <f t="shared" si="248"/>
        <v>25.86275574155313</v>
      </c>
      <c r="AO301">
        <f t="shared" si="249"/>
        <v>-202.33840996186692</v>
      </c>
      <c r="AQ301">
        <f t="shared" si="235"/>
        <v>1.3211767457038635E-2</v>
      </c>
      <c r="AR301">
        <f t="shared" si="236"/>
        <v>-11.494237687623613</v>
      </c>
      <c r="AT301">
        <f t="shared" si="261"/>
        <v>-3686.7941420337324</v>
      </c>
      <c r="AU301">
        <f t="shared" si="262"/>
        <v>-1343.1917885193811</v>
      </c>
      <c r="AV301">
        <f t="shared" si="250"/>
        <v>-2.7922134501151472</v>
      </c>
      <c r="AW301">
        <f t="shared" si="251"/>
        <v>-2213.9896812102584</v>
      </c>
      <c r="AX301">
        <f t="shared" si="252"/>
        <v>-839.10431989694303</v>
      </c>
      <c r="AY301">
        <f t="shared" si="260"/>
        <v>-2.7793188730066483</v>
      </c>
      <c r="BA301">
        <f t="shared" si="237"/>
        <v>1.6572652824179523</v>
      </c>
      <c r="BB301">
        <f t="shared" si="253"/>
        <v>4.3878406508097303</v>
      </c>
      <c r="BC301">
        <f t="shared" si="254"/>
        <v>-1.289457710849895E-2</v>
      </c>
      <c r="BD301">
        <f t="shared" si="238"/>
        <v>-180.7388048477672</v>
      </c>
      <c r="BF301">
        <f t="shared" si="239"/>
        <v>-34.378859547490279</v>
      </c>
      <c r="BG301">
        <f t="shared" si="240"/>
        <v>-164.54652277666887</v>
      </c>
      <c r="BH301">
        <f t="shared" si="255"/>
        <v>15.453477223331134</v>
      </c>
      <c r="BI301">
        <f t="shared" si="256"/>
        <v>15.453477223331134</v>
      </c>
      <c r="BJ301">
        <f t="shared" si="241"/>
        <v>0</v>
      </c>
      <c r="BK301">
        <f t="shared" si="257"/>
        <v>0</v>
      </c>
      <c r="BM301">
        <f t="shared" si="258"/>
        <v>-38.766700198300008</v>
      </c>
      <c r="BN301">
        <f t="shared" si="242"/>
        <v>-163.80771792890167</v>
      </c>
      <c r="BQ301" s="56">
        <f t="shared" si="259"/>
        <v>21.289801451094867</v>
      </c>
      <c r="BR301" s="59"/>
      <c r="BS301" s="59"/>
      <c r="BT301" s="59">
        <v>81283.051999999996</v>
      </c>
      <c r="BU301" s="59">
        <v>4.4202000000000004</v>
      </c>
      <c r="BV301" s="59">
        <v>-130.05699999999999</v>
      </c>
      <c r="BY301" s="59"/>
      <c r="BZ301" s="59"/>
      <c r="CA301" s="59"/>
      <c r="CC301" s="59"/>
    </row>
    <row r="302" spans="1:81" x14ac:dyDescent="0.2">
      <c r="A302">
        <f t="shared" si="263"/>
        <v>440000</v>
      </c>
      <c r="B302">
        <f t="shared" si="243"/>
        <v>440</v>
      </c>
      <c r="C302">
        <f t="shared" si="212"/>
        <v>1.0375115499633571</v>
      </c>
      <c r="D302">
        <f t="shared" si="213"/>
        <v>0.26972319630225489</v>
      </c>
      <c r="F302">
        <f t="shared" si="214"/>
        <v>7.2443005731545531E-4</v>
      </c>
      <c r="G302">
        <f t="shared" si="215"/>
        <v>1.5626461433027528E-2</v>
      </c>
      <c r="H302">
        <f t="shared" si="216"/>
        <v>-3.1259661885669727</v>
      </c>
      <c r="J302">
        <f t="shared" si="217"/>
        <v>15</v>
      </c>
      <c r="M302">
        <f t="shared" si="218"/>
        <v>1.8131116800382363E-3</v>
      </c>
      <c r="N302">
        <f t="shared" si="219"/>
        <v>-1.5707963250000001</v>
      </c>
      <c r="O302">
        <f t="shared" si="220"/>
        <v>49.772874222398549</v>
      </c>
      <c r="P302">
        <f t="shared" si="221"/>
        <v>1.5507037099963903</v>
      </c>
      <c r="Q302">
        <f t="shared" si="222"/>
        <v>52.369995497564169</v>
      </c>
      <c r="R302">
        <f t="shared" si="223"/>
        <v>1.5517002629191314</v>
      </c>
      <c r="S302">
        <f t="shared" si="224"/>
        <v>0.99406059654615353</v>
      </c>
      <c r="T302">
        <f t="shared" si="225"/>
        <v>-0.10904395629858603</v>
      </c>
      <c r="U302">
        <f t="shared" si="226"/>
        <v>0.35669579248609173</v>
      </c>
      <c r="V302">
        <f t="shared" si="227"/>
        <v>-1.2060676921768132</v>
      </c>
      <c r="X302">
        <f t="shared" si="244"/>
        <v>-34.474173620361867</v>
      </c>
      <c r="Y302">
        <f t="shared" si="228"/>
        <v>-151.24636184402431</v>
      </c>
      <c r="Z302">
        <f t="shared" si="245"/>
        <v>28.753638155975693</v>
      </c>
      <c r="AC302">
        <v>1</v>
      </c>
      <c r="AD302">
        <f t="shared" si="229"/>
        <v>49.762827575999999</v>
      </c>
      <c r="AE302">
        <f t="shared" si="230"/>
        <v>-0.13757438935326149</v>
      </c>
      <c r="AF302">
        <f t="shared" si="231"/>
        <v>5.2527429107999998E-2</v>
      </c>
      <c r="AG302">
        <f t="shared" si="246"/>
        <v>114.19150092586985</v>
      </c>
      <c r="AH302">
        <f t="shared" si="247"/>
        <v>-318.11619744138602</v>
      </c>
      <c r="AJ302">
        <f t="shared" si="232"/>
        <v>10500</v>
      </c>
      <c r="AK302">
        <f t="shared" si="233"/>
        <v>1149.5213170056002</v>
      </c>
      <c r="AL302">
        <v>1</v>
      </c>
      <c r="AM302">
        <f t="shared" si="234"/>
        <v>52.360447175467208</v>
      </c>
      <c r="AN302">
        <f t="shared" si="248"/>
        <v>25.774457362599744</v>
      </c>
      <c r="AO302">
        <f t="shared" si="249"/>
        <v>-200.04079620513556</v>
      </c>
      <c r="AQ302">
        <f t="shared" si="235"/>
        <v>1.2913206465384214E-2</v>
      </c>
      <c r="AR302">
        <f t="shared" si="236"/>
        <v>-11.363621689538107</v>
      </c>
      <c r="AT302">
        <f t="shared" si="261"/>
        <v>-3613.4775426102728</v>
      </c>
      <c r="AU302">
        <f t="shared" si="262"/>
        <v>-1301.736916819669</v>
      </c>
      <c r="AV302">
        <f t="shared" si="250"/>
        <v>-2.7958202726229895</v>
      </c>
      <c r="AW302">
        <f t="shared" si="251"/>
        <v>-2163.2356380962947</v>
      </c>
      <c r="AX302">
        <f t="shared" si="252"/>
        <v>-829.15246003732</v>
      </c>
      <c r="AY302">
        <f t="shared" si="260"/>
        <v>-2.7755715529612006</v>
      </c>
      <c r="BA302">
        <f t="shared" si="237"/>
        <v>1.6578776800361914</v>
      </c>
      <c r="BB302">
        <f t="shared" si="253"/>
        <v>4.3910496938268109</v>
      </c>
      <c r="BC302">
        <f t="shared" si="254"/>
        <v>-2.0248719661788872E-2</v>
      </c>
      <c r="BD302">
        <f t="shared" si="238"/>
        <v>-181.16016617848976</v>
      </c>
      <c r="BF302">
        <f t="shared" si="239"/>
        <v>-34.567337095874471</v>
      </c>
      <c r="BG302">
        <f t="shared" si="240"/>
        <v>-164.81083508607367</v>
      </c>
      <c r="BH302">
        <f t="shared" si="255"/>
        <v>15.189164913926334</v>
      </c>
      <c r="BI302">
        <f t="shared" si="256"/>
        <v>15.189164913926334</v>
      </c>
      <c r="BJ302">
        <f t="shared" si="241"/>
        <v>0</v>
      </c>
      <c r="BK302">
        <f t="shared" si="257"/>
        <v>0</v>
      </c>
      <c r="BM302">
        <f t="shared" si="258"/>
        <v>-38.958386789701279</v>
      </c>
      <c r="BN302">
        <f t="shared" si="242"/>
        <v>-163.65066890758393</v>
      </c>
      <c r="BQ302" s="56">
        <f t="shared" si="259"/>
        <v>21.293010494111947</v>
      </c>
      <c r="BR302" s="59"/>
      <c r="BS302" s="59"/>
      <c r="BT302" s="59">
        <v>83176.376999999993</v>
      </c>
      <c r="BU302" s="59">
        <v>4.5639399999999997</v>
      </c>
      <c r="BV302" s="59">
        <v>-130.11600000000001</v>
      </c>
      <c r="BY302" s="59"/>
      <c r="BZ302" s="59"/>
      <c r="CA302" s="59"/>
      <c r="CC302" s="59"/>
    </row>
    <row r="303" spans="1:81" x14ac:dyDescent="0.2">
      <c r="A303">
        <f t="shared" si="263"/>
        <v>445000</v>
      </c>
      <c r="B303">
        <f t="shared" si="243"/>
        <v>445</v>
      </c>
      <c r="C303">
        <f t="shared" si="212"/>
        <v>1.0383530884445658</v>
      </c>
      <c r="D303">
        <f t="shared" si="213"/>
        <v>0.27263936395714211</v>
      </c>
      <c r="F303">
        <f t="shared" si="214"/>
        <v>7.0823242648206835E-4</v>
      </c>
      <c r="G303">
        <f t="shared" si="215"/>
        <v>1.5450656209876701E-2</v>
      </c>
      <c r="H303">
        <f t="shared" si="216"/>
        <v>-3.1261419937901236</v>
      </c>
      <c r="J303">
        <f t="shared" si="217"/>
        <v>15</v>
      </c>
      <c r="M303">
        <f t="shared" si="218"/>
        <v>1.7927396386894924E-3</v>
      </c>
      <c r="N303">
        <f t="shared" si="219"/>
        <v>-1.5707963250000001</v>
      </c>
      <c r="O303">
        <f t="shared" si="220"/>
        <v>50.338248038134211</v>
      </c>
      <c r="P303">
        <f t="shared" si="221"/>
        <v>1.5509294099989683</v>
      </c>
      <c r="Q303">
        <f t="shared" si="222"/>
        <v>52.964893313817839</v>
      </c>
      <c r="R303">
        <f t="shared" si="223"/>
        <v>1.5519147741523847</v>
      </c>
      <c r="S303">
        <f t="shared" si="224"/>
        <v>0.99392607749272721</v>
      </c>
      <c r="T303">
        <f t="shared" si="225"/>
        <v>-0.11027312675123568</v>
      </c>
      <c r="U303">
        <f t="shared" si="226"/>
        <v>0.35319040641971683</v>
      </c>
      <c r="V303">
        <f t="shared" si="227"/>
        <v>-1.2098172208492273</v>
      </c>
      <c r="X303">
        <f t="shared" si="244"/>
        <v>-34.652429435274975</v>
      </c>
      <c r="Y303">
        <f t="shared" si="228"/>
        <v>-151.34938684389161</v>
      </c>
      <c r="Z303">
        <f t="shared" si="245"/>
        <v>28.650613156108392</v>
      </c>
      <c r="AC303">
        <v>1</v>
      </c>
      <c r="AD303">
        <f t="shared" si="229"/>
        <v>50.328314253000002</v>
      </c>
      <c r="AE303">
        <f t="shared" si="230"/>
        <v>-0.14071884530826242</v>
      </c>
      <c r="AF303">
        <f t="shared" si="231"/>
        <v>5.3124331711499995E-2</v>
      </c>
      <c r="AG303">
        <f t="shared" si="246"/>
        <v>111.9581220846637</v>
      </c>
      <c r="AH303">
        <f t="shared" si="247"/>
        <v>-315.38500575638159</v>
      </c>
      <c r="AJ303">
        <f t="shared" si="232"/>
        <v>10500</v>
      </c>
      <c r="AK303">
        <f t="shared" si="233"/>
        <v>1162.5840592443001</v>
      </c>
      <c r="AL303">
        <v>1</v>
      </c>
      <c r="AM303">
        <f t="shared" si="234"/>
        <v>52.955452257006606</v>
      </c>
      <c r="AN303">
        <f t="shared" si="248"/>
        <v>25.68911716584978</v>
      </c>
      <c r="AO303">
        <f t="shared" si="249"/>
        <v>-197.79475835650672</v>
      </c>
      <c r="AQ303">
        <f t="shared" si="235"/>
        <v>1.2624652664243575E-2</v>
      </c>
      <c r="AR303">
        <f t="shared" si="236"/>
        <v>-11.235940871176782</v>
      </c>
      <c r="AT303">
        <f t="shared" si="261"/>
        <v>-3542.2338439301925</v>
      </c>
      <c r="AU303">
        <f t="shared" si="262"/>
        <v>-1261.9364659444575</v>
      </c>
      <c r="AV303">
        <f t="shared" si="250"/>
        <v>-2.7993568694072679</v>
      </c>
      <c r="AW303">
        <f t="shared" si="251"/>
        <v>-2114.1913519338996</v>
      </c>
      <c r="AX303">
        <f t="shared" si="252"/>
        <v>-819.441601778674</v>
      </c>
      <c r="AY303">
        <f t="shared" si="260"/>
        <v>-2.7718292222491576</v>
      </c>
      <c r="BA303">
        <f t="shared" si="237"/>
        <v>1.6583920226146722</v>
      </c>
      <c r="BB303">
        <f t="shared" si="253"/>
        <v>4.3937439999654782</v>
      </c>
      <c r="BC303">
        <f t="shared" si="254"/>
        <v>-2.7527647158110291E-2</v>
      </c>
      <c r="BD303">
        <f t="shared" si="238"/>
        <v>-181.57721800388725</v>
      </c>
      <c r="BF303">
        <f t="shared" si="239"/>
        <v>-34.754013497331975</v>
      </c>
      <c r="BG303">
        <f t="shared" si="240"/>
        <v>-165.07087570961704</v>
      </c>
      <c r="BH303">
        <f t="shared" si="255"/>
        <v>14.929124290382958</v>
      </c>
      <c r="BI303">
        <f t="shared" si="256"/>
        <v>14.929124290382958</v>
      </c>
      <c r="BJ303">
        <f t="shared" si="241"/>
        <v>0</v>
      </c>
      <c r="BK303">
        <f t="shared" si="257"/>
        <v>0</v>
      </c>
      <c r="BM303">
        <f t="shared" si="258"/>
        <v>-39.147757497297455</v>
      </c>
      <c r="BN303">
        <f t="shared" si="242"/>
        <v>-163.49365770572982</v>
      </c>
      <c r="BQ303" s="56">
        <f t="shared" si="259"/>
        <v>21.295704800250618</v>
      </c>
      <c r="BR303" s="59"/>
      <c r="BS303" s="59"/>
      <c r="BT303" s="59">
        <v>85113.804000000004</v>
      </c>
      <c r="BU303" s="59">
        <v>4.7605300000000002</v>
      </c>
      <c r="BV303" s="59">
        <v>-129.97300000000001</v>
      </c>
      <c r="BY303" s="59"/>
      <c r="BZ303" s="59"/>
      <c r="CA303" s="59"/>
      <c r="CC303" s="59"/>
    </row>
    <row r="304" spans="1:81" x14ac:dyDescent="0.2">
      <c r="A304">
        <f t="shared" si="263"/>
        <v>450000</v>
      </c>
      <c r="B304">
        <f t="shared" si="243"/>
        <v>450</v>
      </c>
      <c r="C304">
        <f t="shared" si="212"/>
        <v>1.0392034427705317</v>
      </c>
      <c r="D304">
        <f t="shared" si="213"/>
        <v>0.27555078388234655</v>
      </c>
      <c r="F304">
        <f t="shared" si="214"/>
        <v>6.9257213590638068E-4</v>
      </c>
      <c r="G304">
        <f t="shared" si="215"/>
        <v>1.5278765216039967E-2</v>
      </c>
      <c r="H304">
        <f t="shared" si="216"/>
        <v>-3.1263138847839604</v>
      </c>
      <c r="J304">
        <f t="shared" si="217"/>
        <v>15</v>
      </c>
      <c r="M304">
        <f t="shared" si="218"/>
        <v>1.7728203093707198E-3</v>
      </c>
      <c r="N304">
        <f t="shared" si="219"/>
        <v>-1.5707963250000001</v>
      </c>
      <c r="O304">
        <f t="shared" si="220"/>
        <v>50.9036243611638</v>
      </c>
      <c r="P304">
        <f t="shared" si="221"/>
        <v>1.551150096403465</v>
      </c>
      <c r="Q304">
        <f t="shared" si="222"/>
        <v>53.559793513114244</v>
      </c>
      <c r="R304">
        <f t="shared" si="223"/>
        <v>1.5521245201498766</v>
      </c>
      <c r="S304">
        <f t="shared" si="224"/>
        <v>0.99379009397439622</v>
      </c>
      <c r="T304">
        <f t="shared" si="225"/>
        <v>-0.11150196272333443</v>
      </c>
      <c r="U304">
        <f t="shared" si="226"/>
        <v>0.34974847296204725</v>
      </c>
      <c r="V304">
        <f t="shared" si="227"/>
        <v>-1.213493720086384</v>
      </c>
      <c r="X304">
        <f t="shared" si="244"/>
        <v>-34.828806824651835</v>
      </c>
      <c r="Y304">
        <f t="shared" si="228"/>
        <v>-151.44881644297146</v>
      </c>
      <c r="Z304">
        <f t="shared" si="245"/>
        <v>28.551183557028537</v>
      </c>
      <c r="AC304">
        <v>1</v>
      </c>
      <c r="AD304">
        <f t="shared" si="229"/>
        <v>50.893800929999998</v>
      </c>
      <c r="AE304">
        <f t="shared" si="230"/>
        <v>-0.1438988318390261</v>
      </c>
      <c r="AF304">
        <f t="shared" si="231"/>
        <v>5.3721234314999998E-2</v>
      </c>
      <c r="AG304">
        <f t="shared" si="246"/>
        <v>109.78663203858159</v>
      </c>
      <c r="AH304">
        <f t="shared" si="247"/>
        <v>-312.69140249822061</v>
      </c>
      <c r="AJ304">
        <f t="shared" si="232"/>
        <v>10500</v>
      </c>
      <c r="AK304">
        <f t="shared" si="233"/>
        <v>1175.6468014830002</v>
      </c>
      <c r="AL304">
        <v>1</v>
      </c>
      <c r="AM304">
        <f t="shared" si="234"/>
        <v>53.550457338546011</v>
      </c>
      <c r="AN304">
        <f t="shared" si="248"/>
        <v>25.606604486551078</v>
      </c>
      <c r="AO304">
        <f t="shared" si="249"/>
        <v>-195.59857965907426</v>
      </c>
      <c r="AQ304">
        <f t="shared" si="235"/>
        <v>1.2345663770785468E-2</v>
      </c>
      <c r="AR304">
        <f t="shared" si="236"/>
        <v>-11.111097393706922</v>
      </c>
      <c r="AT304">
        <f t="shared" si="261"/>
        <v>-3472.9892384868658</v>
      </c>
      <c r="AU304">
        <f t="shared" si="262"/>
        <v>-1223.7103440270032</v>
      </c>
      <c r="AV304">
        <f t="shared" si="250"/>
        <v>-2.802825166618848</v>
      </c>
      <c r="AW304">
        <f t="shared" si="251"/>
        <v>-2066.7808672761475</v>
      </c>
      <c r="AX304">
        <f t="shared" si="252"/>
        <v>-809.96279000921913</v>
      </c>
      <c r="AY304">
        <f t="shared" si="260"/>
        <v>-2.7680920992915632</v>
      </c>
      <c r="BA304">
        <f t="shared" si="237"/>
        <v>1.6588115132194325</v>
      </c>
      <c r="BB304">
        <f t="shared" si="253"/>
        <v>4.3959408197127239</v>
      </c>
      <c r="BC304">
        <f t="shared" si="254"/>
        <v>-3.4733067327284761E-2</v>
      </c>
      <c r="BD304">
        <f t="shared" si="238"/>
        <v>-181.99005816967113</v>
      </c>
      <c r="BF304">
        <f t="shared" si="239"/>
        <v>-34.938922168476147</v>
      </c>
      <c r="BG304">
        <f t="shared" si="240"/>
        <v>-165.32675242960022</v>
      </c>
      <c r="BH304">
        <f t="shared" si="255"/>
        <v>14.673247570399781</v>
      </c>
      <c r="BI304">
        <f t="shared" si="256"/>
        <v>14.673247570399781</v>
      </c>
      <c r="BJ304">
        <f t="shared" si="241"/>
        <v>0</v>
      </c>
      <c r="BK304">
        <f t="shared" si="257"/>
        <v>0</v>
      </c>
      <c r="BM304">
        <f t="shared" si="258"/>
        <v>-39.334862988188874</v>
      </c>
      <c r="BN304">
        <f t="shared" si="242"/>
        <v>-163.33669425992912</v>
      </c>
      <c r="BQ304" s="56">
        <f t="shared" si="259"/>
        <v>21.297901619997859</v>
      </c>
      <c r="BR304" s="59"/>
      <c r="BS304" s="59"/>
      <c r="BT304" s="59">
        <v>87096.358999999997</v>
      </c>
      <c r="BU304" s="59">
        <v>4.9475499999999997</v>
      </c>
      <c r="BV304" s="59">
        <v>-129.96199999999999</v>
      </c>
      <c r="BY304" s="59"/>
      <c r="BZ304" s="59"/>
      <c r="CA304" s="59"/>
      <c r="CC304" s="59"/>
    </row>
    <row r="305" spans="1:81" x14ac:dyDescent="0.2">
      <c r="A305">
        <f t="shared" si="263"/>
        <v>455000</v>
      </c>
      <c r="B305">
        <f t="shared" si="243"/>
        <v>455</v>
      </c>
      <c r="C305">
        <f t="shared" si="212"/>
        <v>1.0400625913177728</v>
      </c>
      <c r="D305">
        <f t="shared" si="213"/>
        <v>0.27845741842752036</v>
      </c>
      <c r="F305">
        <f t="shared" si="214"/>
        <v>6.7742567367464119E-4</v>
      </c>
      <c r="G305">
        <f t="shared" si="215"/>
        <v>1.5110659088759503E-2</v>
      </c>
      <c r="H305">
        <f t="shared" si="216"/>
        <v>-3.1264819909112407</v>
      </c>
      <c r="J305">
        <f t="shared" si="217"/>
        <v>15</v>
      </c>
      <c r="M305">
        <f t="shared" si="218"/>
        <v>1.7533387675095033E-3</v>
      </c>
      <c r="N305">
        <f t="shared" si="219"/>
        <v>-1.5707963250000001</v>
      </c>
      <c r="O305">
        <f t="shared" si="220"/>
        <v>51.469003108860996</v>
      </c>
      <c r="P305">
        <f t="shared" si="221"/>
        <v>1.5513659344087358</v>
      </c>
      <c r="Q305">
        <f t="shared" si="222"/>
        <v>54.154696016918798</v>
      </c>
      <c r="R305">
        <f t="shared" si="223"/>
        <v>1.5523296579346615</v>
      </c>
      <c r="S305">
        <f t="shared" si="224"/>
        <v>0.99365264782394203</v>
      </c>
      <c r="T305">
        <f t="shared" si="225"/>
        <v>-0.11273046064173936</v>
      </c>
      <c r="U305">
        <f t="shared" si="226"/>
        <v>0.34636843012322044</v>
      </c>
      <c r="V305">
        <f t="shared" si="227"/>
        <v>-1.2170992063516552</v>
      </c>
      <c r="X305">
        <f t="shared" si="244"/>
        <v>-35.003340063509327</v>
      </c>
      <c r="Y305">
        <f t="shared" si="228"/>
        <v>-151.5447570785694</v>
      </c>
      <c r="Z305">
        <f t="shared" si="245"/>
        <v>28.455242921430596</v>
      </c>
      <c r="AC305">
        <v>1</v>
      </c>
      <c r="AD305">
        <f t="shared" si="229"/>
        <v>51.459287607</v>
      </c>
      <c r="AE305">
        <f t="shared" si="230"/>
        <v>-0.14711434894555248</v>
      </c>
      <c r="AF305">
        <f t="shared" si="231"/>
        <v>5.4318136918500001E-2</v>
      </c>
      <c r="AG305">
        <f t="shared" si="246"/>
        <v>107.67488354867541</v>
      </c>
      <c r="AH305">
        <f t="shared" si="247"/>
        <v>-310.03494129998256</v>
      </c>
      <c r="AJ305">
        <f t="shared" si="232"/>
        <v>10500</v>
      </c>
      <c r="AK305">
        <f t="shared" si="233"/>
        <v>1188.7095437217001</v>
      </c>
      <c r="AL305">
        <v>1</v>
      </c>
      <c r="AM305">
        <f t="shared" si="234"/>
        <v>54.145462420085408</v>
      </c>
      <c r="AN305">
        <f t="shared" si="248"/>
        <v>25.526795794710726</v>
      </c>
      <c r="AO305">
        <f t="shared" si="249"/>
        <v>-193.45061868600376</v>
      </c>
      <c r="AQ305">
        <f t="shared" si="235"/>
        <v>1.207582166909592E-2</v>
      </c>
      <c r="AR305">
        <f t="shared" si="236"/>
        <v>-10.988997718877286</v>
      </c>
      <c r="AT305">
        <f t="shared" si="261"/>
        <v>-3405.6730000257871</v>
      </c>
      <c r="AU305">
        <f t="shared" si="262"/>
        <v>-1186.9829763590985</v>
      </c>
      <c r="AV305">
        <f t="shared" si="250"/>
        <v>-2.8062270248761498</v>
      </c>
      <c r="AW305">
        <f t="shared" si="251"/>
        <v>-2020.9323993008056</v>
      </c>
      <c r="AX305">
        <f t="shared" si="252"/>
        <v>-800.70752165494946</v>
      </c>
      <c r="AY305">
        <f t="shared" si="260"/>
        <v>-2.7643603924124838</v>
      </c>
      <c r="BA305">
        <f t="shared" si="237"/>
        <v>1.6591392252032269</v>
      </c>
      <c r="BB305">
        <f t="shared" si="253"/>
        <v>4.3976566198303093</v>
      </c>
      <c r="BC305">
        <f t="shared" si="254"/>
        <v>-4.1866632463666065E-2</v>
      </c>
      <c r="BD305">
        <f t="shared" si="238"/>
        <v>-182.39878134533447</v>
      </c>
      <c r="BF305">
        <f t="shared" si="239"/>
        <v>-35.12209563967761</v>
      </c>
      <c r="BG305">
        <f t="shared" si="240"/>
        <v>-165.57856948466235</v>
      </c>
      <c r="BH305">
        <f t="shared" si="255"/>
        <v>14.421430515337647</v>
      </c>
      <c r="BI305">
        <f t="shared" si="256"/>
        <v>14.421430515337647</v>
      </c>
      <c r="BJ305">
        <f t="shared" si="241"/>
        <v>0</v>
      </c>
      <c r="BK305">
        <f t="shared" si="257"/>
        <v>0</v>
      </c>
      <c r="BM305">
        <f t="shared" si="258"/>
        <v>-39.519752259507925</v>
      </c>
      <c r="BN305">
        <f t="shared" si="242"/>
        <v>-163.17978813932788</v>
      </c>
      <c r="BQ305" s="56">
        <f t="shared" si="259"/>
        <v>21.29961742011545</v>
      </c>
      <c r="BR305" s="59"/>
      <c r="BS305" s="59"/>
      <c r="BT305" s="59">
        <v>89125.093999999997</v>
      </c>
      <c r="BU305" s="59">
        <v>5.2143100000000002</v>
      </c>
      <c r="BV305" s="59">
        <v>-129.73099999999999</v>
      </c>
      <c r="BY305" s="59"/>
      <c r="BZ305" s="59"/>
      <c r="CA305" s="59"/>
      <c r="CC305" s="59"/>
    </row>
    <row r="306" spans="1:81" x14ac:dyDescent="0.2">
      <c r="A306">
        <f t="shared" si="263"/>
        <v>460000</v>
      </c>
      <c r="B306">
        <f t="shared" si="243"/>
        <v>460</v>
      </c>
      <c r="C306">
        <f t="shared" si="212"/>
        <v>1.040930512310938</v>
      </c>
      <c r="D306">
        <f t="shared" si="213"/>
        <v>0.28135923038940869</v>
      </c>
      <c r="F306">
        <f t="shared" si="214"/>
        <v>6.6277080016832388E-4</v>
      </c>
      <c r="G306">
        <f t="shared" si="215"/>
        <v>1.4946214106991151E-2</v>
      </c>
      <c r="H306">
        <f t="shared" si="216"/>
        <v>-3.1266464358930088</v>
      </c>
      <c r="J306">
        <f t="shared" si="217"/>
        <v>15</v>
      </c>
      <c r="M306">
        <f t="shared" si="218"/>
        <v>1.7342807374278782E-3</v>
      </c>
      <c r="N306">
        <f t="shared" si="219"/>
        <v>-1.5707963250000001</v>
      </c>
      <c r="O306">
        <f t="shared" si="220"/>
        <v>52.03438420219026</v>
      </c>
      <c r="P306">
        <f t="shared" si="221"/>
        <v>1.5515770820355974</v>
      </c>
      <c r="Q306">
        <f t="shared" si="222"/>
        <v>54.749600750109956</v>
      </c>
      <c r="R306">
        <f t="shared" si="223"/>
        <v>1.5525303377065862</v>
      </c>
      <c r="S306">
        <f t="shared" si="224"/>
        <v>0.99351374089249267</v>
      </c>
      <c r="T306">
        <f t="shared" si="225"/>
        <v>-0.11395861693935469</v>
      </c>
      <c r="U306">
        <f t="shared" si="226"/>
        <v>0.3430487606428691</v>
      </c>
      <c r="V306">
        <f t="shared" si="227"/>
        <v>-1.2206356263470253</v>
      </c>
      <c r="X306">
        <f t="shared" si="244"/>
        <v>-35.176062532632073</v>
      </c>
      <c r="Y306">
        <f t="shared" si="228"/>
        <v>-151.63731164465366</v>
      </c>
      <c r="Z306">
        <f t="shared" si="245"/>
        <v>28.362688355346336</v>
      </c>
      <c r="AC306">
        <v>1</v>
      </c>
      <c r="AD306">
        <f t="shared" si="229"/>
        <v>52.024774284000003</v>
      </c>
      <c r="AE306">
        <f t="shared" si="230"/>
        <v>-0.1503653966278416</v>
      </c>
      <c r="AF306">
        <f t="shared" si="231"/>
        <v>5.4915039521999998E-2</v>
      </c>
      <c r="AG306">
        <f t="shared" si="246"/>
        <v>105.62081580573167</v>
      </c>
      <c r="AH306">
        <f t="shared" si="247"/>
        <v>-307.41516363694706</v>
      </c>
      <c r="AJ306">
        <f t="shared" si="232"/>
        <v>10500</v>
      </c>
      <c r="AK306">
        <f t="shared" si="233"/>
        <v>1201.7722859604</v>
      </c>
      <c r="AL306">
        <v>1</v>
      </c>
      <c r="AM306">
        <f t="shared" si="234"/>
        <v>54.740467501624799</v>
      </c>
      <c r="AN306">
        <f t="shared" si="248"/>
        <v>25.44957423270095</v>
      </c>
      <c r="AO306">
        <f t="shared" si="249"/>
        <v>-191.34930525495412</v>
      </c>
      <c r="AQ306">
        <f t="shared" si="235"/>
        <v>1.1814730842709308E-2</v>
      </c>
      <c r="AR306">
        <f t="shared" si="236"/>
        <v>-10.869552375292562</v>
      </c>
      <c r="AT306">
        <f t="shared" si="261"/>
        <v>-3340.2173406007973</v>
      </c>
      <c r="AU306">
        <f t="shared" si="262"/>
        <v>-1151.6830167368666</v>
      </c>
      <c r="AV306">
        <f t="shared" si="250"/>
        <v>-2.8095642418075522</v>
      </c>
      <c r="AW306">
        <f t="shared" si="251"/>
        <v>-1976.5780621337153</v>
      </c>
      <c r="AX306">
        <f t="shared" si="252"/>
        <v>-791.66771685772915</v>
      </c>
      <c r="AY306">
        <f t="shared" si="260"/>
        <v>-2.7606343004058025</v>
      </c>
      <c r="BA306">
        <f t="shared" si="237"/>
        <v>1.6593781085550496</v>
      </c>
      <c r="BB306">
        <f t="shared" si="253"/>
        <v>4.3989071267436106</v>
      </c>
      <c r="BC306">
        <f t="shared" si="254"/>
        <v>-4.8929941401749666E-2</v>
      </c>
      <c r="BD306">
        <f t="shared" si="238"/>
        <v>-182.80347913734613</v>
      </c>
      <c r="BF306">
        <f t="shared" si="239"/>
        <v>-35.30356558493213</v>
      </c>
      <c r="BG306">
        <f t="shared" si="240"/>
        <v>-165.82642770155542</v>
      </c>
      <c r="BH306">
        <f t="shared" si="255"/>
        <v>14.173572298444583</v>
      </c>
      <c r="BI306">
        <f t="shared" si="256"/>
        <v>14.173572298444583</v>
      </c>
      <c r="BJ306">
        <f t="shared" si="241"/>
        <v>0</v>
      </c>
      <c r="BK306">
        <f t="shared" si="257"/>
        <v>0</v>
      </c>
      <c r="BM306">
        <f t="shared" si="258"/>
        <v>-39.702472711675739</v>
      </c>
      <c r="BN306">
        <f t="shared" si="242"/>
        <v>-163.02294856420929</v>
      </c>
      <c r="BQ306" s="56">
        <f t="shared" si="259"/>
        <v>21.300867927028747</v>
      </c>
      <c r="BR306" s="59"/>
      <c r="BS306" s="59"/>
      <c r="BT306" s="59">
        <v>91201.084000000003</v>
      </c>
      <c r="BU306" s="59">
        <v>5.4050900000000004</v>
      </c>
      <c r="BV306" s="59">
        <v>-129.68299999999999</v>
      </c>
      <c r="BY306" s="59"/>
      <c r="BZ306" s="59"/>
      <c r="CA306" s="59"/>
      <c r="CC306" s="59"/>
    </row>
    <row r="307" spans="1:81" x14ac:dyDescent="0.2">
      <c r="A307">
        <f t="shared" si="263"/>
        <v>465000</v>
      </c>
      <c r="B307">
        <f t="shared" si="243"/>
        <v>465</v>
      </c>
      <c r="C307">
        <f t="shared" si="212"/>
        <v>1.0418071838252705</v>
      </c>
      <c r="D307">
        <f t="shared" si="213"/>
        <v>0.28425618301296696</v>
      </c>
      <c r="F307">
        <f t="shared" si="214"/>
        <v>6.4858646631772547E-4</v>
      </c>
      <c r="G307">
        <f t="shared" si="215"/>
        <v>1.4785311886990391E-2</v>
      </c>
      <c r="H307">
        <f t="shared" si="216"/>
        <v>-3.1268073381130099</v>
      </c>
      <c r="J307">
        <f t="shared" si="217"/>
        <v>15</v>
      </c>
      <c r="M307">
        <f t="shared" si="218"/>
        <v>1.7156325574555356E-3</v>
      </c>
      <c r="N307">
        <f t="shared" si="219"/>
        <v>-1.5707963250000001</v>
      </c>
      <c r="O307">
        <f t="shared" si="220"/>
        <v>52.599767565513822</v>
      </c>
      <c r="P307">
        <f t="shared" si="221"/>
        <v>1.5517836905124578</v>
      </c>
      <c r="Q307">
        <f t="shared" si="222"/>
        <v>55.344507640795904</v>
      </c>
      <c r="R307">
        <f t="shared" si="223"/>
        <v>1.5527267032088825</v>
      </c>
      <c r="S307">
        <f t="shared" si="224"/>
        <v>0.99337337504945666</v>
      </c>
      <c r="T307">
        <f t="shared" si="225"/>
        <v>-0.11518642805519058</v>
      </c>
      <c r="U307">
        <f t="shared" si="226"/>
        <v>0.33978799074102334</v>
      </c>
      <c r="V307">
        <f t="shared" si="227"/>
        <v>-1.2241048598159947</v>
      </c>
      <c r="X307">
        <f t="shared" si="244"/>
        <v>-35.347006748747198</v>
      </c>
      <c r="Y307">
        <f t="shared" si="228"/>
        <v>-151.72657962673162</v>
      </c>
      <c r="Z307">
        <f t="shared" si="245"/>
        <v>28.27342037326838</v>
      </c>
      <c r="AC307">
        <v>1</v>
      </c>
      <c r="AD307">
        <f t="shared" si="229"/>
        <v>52.590260961000013</v>
      </c>
      <c r="AE307">
        <f t="shared" si="230"/>
        <v>-0.15365197488589344</v>
      </c>
      <c r="AF307">
        <f t="shared" si="231"/>
        <v>5.5511942125500001E-2</v>
      </c>
      <c r="AG307">
        <f t="shared" si="246"/>
        <v>103.62245064595628</v>
      </c>
      <c r="AH307">
        <f t="shared" si="247"/>
        <v>-304.83160084745077</v>
      </c>
      <c r="AJ307">
        <f t="shared" si="232"/>
        <v>10500</v>
      </c>
      <c r="AK307">
        <f t="shared" si="233"/>
        <v>1214.8350281991002</v>
      </c>
      <c r="AL307">
        <v>1</v>
      </c>
      <c r="AM307">
        <f t="shared" si="234"/>
        <v>55.335472583164211</v>
      </c>
      <c r="AN307">
        <f t="shared" si="248"/>
        <v>25.374829187449006</v>
      </c>
      <c r="AO307">
        <f t="shared" si="249"/>
        <v>-189.2931366054593</v>
      </c>
      <c r="AQ307">
        <f t="shared" si="235"/>
        <v>1.1562016924480374E-2</v>
      </c>
      <c r="AR307">
        <f t="shared" si="236"/>
        <v>-10.752675739766747</v>
      </c>
      <c r="AT307">
        <f t="shared" si="261"/>
        <v>-3276.5572746185198</v>
      </c>
      <c r="AU307">
        <f t="shared" si="262"/>
        <v>-1117.743079284066</v>
      </c>
      <c r="AV307">
        <f t="shared" si="250"/>
        <v>-2.812838554490535</v>
      </c>
      <c r="AW307">
        <f t="shared" si="251"/>
        <v>-1933.6536175818244</v>
      </c>
      <c r="AX307">
        <f t="shared" si="252"/>
        <v>-782.83569236061749</v>
      </c>
      <c r="AY307">
        <f t="shared" si="260"/>
        <v>-2.7569140130627448</v>
      </c>
      <c r="BA307">
        <f t="shared" si="237"/>
        <v>1.6595309959079809</v>
      </c>
      <c r="BB307">
        <f t="shared" si="253"/>
        <v>4.399707367204412</v>
      </c>
      <c r="BC307">
        <f t="shared" si="254"/>
        <v>-5.5924541427790242E-2</v>
      </c>
      <c r="BD307">
        <f t="shared" si="238"/>
        <v>-183.20424019867829</v>
      </c>
      <c r="BF307">
        <f t="shared" si="239"/>
        <v>-35.483362850478123</v>
      </c>
      <c r="BG307">
        <f t="shared" si="240"/>
        <v>-166.07042462204956</v>
      </c>
      <c r="BH307">
        <f t="shared" si="255"/>
        <v>13.929575377950442</v>
      </c>
      <c r="BI307">
        <f t="shared" si="256"/>
        <v>13.929575377950442</v>
      </c>
      <c r="BJ307">
        <f t="shared" si="241"/>
        <v>0</v>
      </c>
      <c r="BK307">
        <f t="shared" si="257"/>
        <v>0</v>
      </c>
      <c r="BM307">
        <f t="shared" si="258"/>
        <v>-39.883070217682537</v>
      </c>
      <c r="BN307">
        <f t="shared" si="242"/>
        <v>-162.86618442337127</v>
      </c>
      <c r="BQ307" s="56">
        <f t="shared" si="259"/>
        <v>21.301668167489552</v>
      </c>
      <c r="BR307" s="59"/>
      <c r="BS307" s="59"/>
      <c r="BT307" s="59">
        <v>93325.43</v>
      </c>
      <c r="BU307" s="59">
        <v>5.6014999999999997</v>
      </c>
      <c r="BV307" s="59">
        <v>-129.64400000000001</v>
      </c>
      <c r="BY307" s="59"/>
      <c r="BZ307" s="59"/>
      <c r="CA307" s="59"/>
      <c r="CC307" s="59"/>
    </row>
    <row r="308" spans="1:81" x14ac:dyDescent="0.2">
      <c r="A308">
        <f t="shared" si="263"/>
        <v>470000</v>
      </c>
      <c r="B308">
        <f t="shared" si="243"/>
        <v>470</v>
      </c>
      <c r="C308">
        <f t="shared" si="212"/>
        <v>1.0426925837890699</v>
      </c>
      <c r="D308">
        <f t="shared" si="213"/>
        <v>0.28714823999238759</v>
      </c>
      <c r="F308">
        <f t="shared" si="214"/>
        <v>6.3485273791933673E-4</v>
      </c>
      <c r="G308">
        <f t="shared" si="215"/>
        <v>1.4627839097409499E-2</v>
      </c>
      <c r="H308">
        <f t="shared" si="216"/>
        <v>-3.1269648109025909</v>
      </c>
      <c r="J308">
        <f t="shared" si="217"/>
        <v>15</v>
      </c>
      <c r="M308">
        <f t="shared" si="218"/>
        <v>1.6973811472698384E-3</v>
      </c>
      <c r="N308">
        <f t="shared" si="219"/>
        <v>-1.5707963250000001</v>
      </c>
      <c r="O308">
        <f t="shared" si="220"/>
        <v>53.16515312641112</v>
      </c>
      <c r="P308">
        <f t="shared" si="221"/>
        <v>1.5519859046363524</v>
      </c>
      <c r="Q308">
        <f t="shared" si="222"/>
        <v>55.939416620142801</v>
      </c>
      <c r="R308">
        <f t="shared" si="223"/>
        <v>1.5529188920713786</v>
      </c>
      <c r="S308">
        <f t="shared" si="224"/>
        <v>0.99323155218245229</v>
      </c>
      <c r="T308">
        <f t="shared" si="225"/>
        <v>-0.11641389043442153</v>
      </c>
      <c r="U308">
        <f t="shared" si="226"/>
        <v>0.33658468888547749</v>
      </c>
      <c r="V308">
        <f t="shared" si="227"/>
        <v>-1.2275087222237613</v>
      </c>
      <c r="X308">
        <f t="shared" si="244"/>
        <v>-35.516204393445719</v>
      </c>
      <c r="Y308">
        <f t="shared" si="228"/>
        <v>-151.81265723133069</v>
      </c>
      <c r="Z308">
        <f t="shared" si="245"/>
        <v>28.187342768669311</v>
      </c>
      <c r="AC308">
        <v>1</v>
      </c>
      <c r="AD308">
        <f t="shared" si="229"/>
        <v>53.155747638000008</v>
      </c>
      <c r="AE308">
        <f t="shared" si="230"/>
        <v>-0.15697408371970795</v>
      </c>
      <c r="AF308">
        <f t="shared" si="231"/>
        <v>5.6108844728999997E-2</v>
      </c>
      <c r="AG308">
        <f t="shared" si="246"/>
        <v>101.67788893255207</v>
      </c>
      <c r="AH308">
        <f t="shared" si="247"/>
        <v>-302.28377596545602</v>
      </c>
      <c r="AJ308">
        <f t="shared" si="232"/>
        <v>10500</v>
      </c>
      <c r="AK308">
        <f t="shared" si="233"/>
        <v>1227.8977704378001</v>
      </c>
      <c r="AL308">
        <v>1</v>
      </c>
      <c r="AM308">
        <f t="shared" si="234"/>
        <v>55.930477664703602</v>
      </c>
      <c r="AN308">
        <f t="shared" si="248"/>
        <v>25.302455894286553</v>
      </c>
      <c r="AO308">
        <f t="shared" si="249"/>
        <v>-187.28067381974188</v>
      </c>
      <c r="AQ308">
        <f t="shared" si="235"/>
        <v>1.131732535386447E-2</v>
      </c>
      <c r="AR308">
        <f t="shared" si="236"/>
        <v>-10.638285832632603</v>
      </c>
      <c r="AT308">
        <f t="shared" si="261"/>
        <v>-3214.6304895376547</v>
      </c>
      <c r="AU308">
        <f t="shared" si="262"/>
        <v>-1085.0994891649557</v>
      </c>
      <c r="AV308">
        <f t="shared" si="250"/>
        <v>-2.816051641791292</v>
      </c>
      <c r="AW308">
        <f t="shared" si="251"/>
        <v>-1892.0982425437248</v>
      </c>
      <c r="AX308">
        <f t="shared" si="252"/>
        <v>-774.20413690469763</v>
      </c>
      <c r="AY308">
        <f t="shared" si="260"/>
        <v>-2.7531997116631706</v>
      </c>
      <c r="BA308">
        <f t="shared" si="237"/>
        <v>1.6596006082243502</v>
      </c>
      <c r="BB308">
        <f t="shared" si="253"/>
        <v>4.4000717064169761</v>
      </c>
      <c r="BC308">
        <f t="shared" si="254"/>
        <v>-6.2851930128121403E-2</v>
      </c>
      <c r="BD308">
        <f t="shared" si="238"/>
        <v>-183.60115033470743</v>
      </c>
      <c r="BF308">
        <f t="shared" si="239"/>
        <v>-35.661517482230799</v>
      </c>
      <c r="BG308">
        <f t="shared" si="240"/>
        <v>-166.31065462509864</v>
      </c>
      <c r="BH308">
        <f t="shared" si="255"/>
        <v>13.689345374901364</v>
      </c>
      <c r="BI308">
        <f t="shared" si="256"/>
        <v>13.689345374901364</v>
      </c>
      <c r="BJ308">
        <f t="shared" si="241"/>
        <v>0</v>
      </c>
      <c r="BK308">
        <f t="shared" si="257"/>
        <v>0</v>
      </c>
      <c r="BM308">
        <f t="shared" si="258"/>
        <v>-40.061589188647773</v>
      </c>
      <c r="BN308">
        <f t="shared" si="242"/>
        <v>-162.70950429039124</v>
      </c>
      <c r="BQ308" s="56">
        <f t="shared" si="259"/>
        <v>21.302032506702112</v>
      </c>
      <c r="BR308" s="59"/>
      <c r="BS308" s="59"/>
      <c r="BT308" s="59">
        <v>95499.259000000005</v>
      </c>
      <c r="BU308" s="59">
        <v>5.7946099999999996</v>
      </c>
      <c r="BV308" s="59">
        <v>-129.63</v>
      </c>
      <c r="BY308" s="59"/>
      <c r="BZ308" s="59"/>
      <c r="CA308" s="59"/>
      <c r="CC308" s="59"/>
    </row>
    <row r="309" spans="1:81" x14ac:dyDescent="0.2">
      <c r="A309">
        <f t="shared" si="263"/>
        <v>475000</v>
      </c>
      <c r="B309">
        <f t="shared" si="243"/>
        <v>475</v>
      </c>
      <c r="C309">
        <f t="shared" si="212"/>
        <v>1.0435866899861599</v>
      </c>
      <c r="D309">
        <f t="shared" si="213"/>
        <v>0.29003536547203573</v>
      </c>
      <c r="F309">
        <f t="shared" si="214"/>
        <v>6.2155072550824247E-4</v>
      </c>
      <c r="G309">
        <f t="shared" si="215"/>
        <v>1.4473687192461405E-2</v>
      </c>
      <c r="H309">
        <f t="shared" si="216"/>
        <v>-3.1271189628075389</v>
      </c>
      <c r="J309">
        <f t="shared" si="217"/>
        <v>15</v>
      </c>
      <c r="M309">
        <f t="shared" si="218"/>
        <v>1.6795139772985768E-3</v>
      </c>
      <c r="N309">
        <f t="shared" si="219"/>
        <v>-1.5707963250000001</v>
      </c>
      <c r="O309">
        <f t="shared" si="220"/>
        <v>53.730540815509514</v>
      </c>
      <c r="P309">
        <f t="shared" si="221"/>
        <v>1.5521838631111948</v>
      </c>
      <c r="Q309">
        <f t="shared" si="222"/>
        <v>56.53432762221388</v>
      </c>
      <c r="R309">
        <f t="shared" si="223"/>
        <v>1.5531070361320496</v>
      </c>
      <c r="S309">
        <f t="shared" si="224"/>
        <v>0.99308827419724</v>
      </c>
      <c r="T309">
        <f t="shared" si="225"/>
        <v>-0.11764100052844445</v>
      </c>
      <c r="U309">
        <f t="shared" si="226"/>
        <v>0.33343746457807744</v>
      </c>
      <c r="V309">
        <f t="shared" si="227"/>
        <v>-1.2308489673200766</v>
      </c>
      <c r="X309">
        <f t="shared" si="244"/>
        <v>-35.683686340914889</v>
      </c>
      <c r="Y309">
        <f t="shared" si="228"/>
        <v>-151.89563751027376</v>
      </c>
      <c r="Z309">
        <f t="shared" si="245"/>
        <v>28.104362489726242</v>
      </c>
      <c r="AC309">
        <v>1</v>
      </c>
      <c r="AD309">
        <f t="shared" si="229"/>
        <v>53.721234315000011</v>
      </c>
      <c r="AE309">
        <f t="shared" si="230"/>
        <v>-0.1603317231292852</v>
      </c>
      <c r="AF309">
        <f t="shared" si="231"/>
        <v>5.6705747332499994E-2</v>
      </c>
      <c r="AG309">
        <f t="shared" si="246"/>
        <v>99.78530709722753</v>
      </c>
      <c r="AH309">
        <f t="shared" si="247"/>
        <v>-299.77120538081368</v>
      </c>
      <c r="AJ309">
        <f t="shared" si="232"/>
        <v>10500</v>
      </c>
      <c r="AK309">
        <f t="shared" si="233"/>
        <v>1240.9605126765002</v>
      </c>
      <c r="AL309">
        <v>1</v>
      </c>
      <c r="AM309">
        <f t="shared" si="234"/>
        <v>56.525482746243014</v>
      </c>
      <c r="AN309">
        <f t="shared" si="248"/>
        <v>25.232355069809003</v>
      </c>
      <c r="AO309">
        <f t="shared" si="249"/>
        <v>-185.31053846906596</v>
      </c>
      <c r="AQ309">
        <f t="shared" si="235"/>
        <v>1.1080320132609272E-2</v>
      </c>
      <c r="AR309">
        <f t="shared" si="236"/>
        <v>-10.526304125978807</v>
      </c>
      <c r="AT309">
        <f t="shared" si="261"/>
        <v>-3154.3772229025312</v>
      </c>
      <c r="AU309">
        <f t="shared" si="262"/>
        <v>-1053.6920507317661</v>
      </c>
      <c r="AV309">
        <f t="shared" si="250"/>
        <v>-2.819205126608511</v>
      </c>
      <c r="AW309">
        <f t="shared" si="251"/>
        <v>-1851.8543135289801</v>
      </c>
      <c r="AX309">
        <f t="shared" si="252"/>
        <v>-765.76608846123679</v>
      </c>
      <c r="AY309">
        <f t="shared" si="260"/>
        <v>-2.7494915694334034</v>
      </c>
      <c r="BA309">
        <f t="shared" si="237"/>
        <v>1.6595895601762158</v>
      </c>
      <c r="BB309">
        <f t="shared" si="253"/>
        <v>4.4000138838024565</v>
      </c>
      <c r="BC309">
        <f t="shared" si="254"/>
        <v>-6.9713557175107521E-2</v>
      </c>
      <c r="BD309">
        <f t="shared" si="238"/>
        <v>-183.99429260554177</v>
      </c>
      <c r="BF309">
        <f t="shared" si="239"/>
        <v>-35.838058752094895</v>
      </c>
      <c r="BG309">
        <f t="shared" si="240"/>
        <v>-166.54720904440296</v>
      </c>
      <c r="BH309">
        <f t="shared" si="255"/>
        <v>13.452790955597038</v>
      </c>
      <c r="BI309">
        <f t="shared" si="256"/>
        <v>13.452790955597038</v>
      </c>
      <c r="BJ309">
        <f t="shared" si="241"/>
        <v>0</v>
      </c>
      <c r="BK309">
        <f t="shared" si="257"/>
        <v>0</v>
      </c>
      <c r="BM309">
        <f t="shared" si="258"/>
        <v>-40.238072635897353</v>
      </c>
      <c r="BN309">
        <f t="shared" si="242"/>
        <v>-162.55291643886119</v>
      </c>
      <c r="BQ309" s="56">
        <f t="shared" si="259"/>
        <v>21.301974684087593</v>
      </c>
      <c r="BR309" s="59"/>
      <c r="BS309" s="59"/>
      <c r="BT309" s="59">
        <v>97723.721999999994</v>
      </c>
      <c r="BU309" s="59">
        <v>5.9855799999999997</v>
      </c>
      <c r="BV309" s="59">
        <v>-129.62100000000001</v>
      </c>
      <c r="BY309" s="59"/>
      <c r="BZ309" s="59"/>
      <c r="CA309" s="59"/>
      <c r="CC309" s="59"/>
    </row>
    <row r="310" spans="1:81" x14ac:dyDescent="0.2">
      <c r="A310">
        <f t="shared" si="263"/>
        <v>480000</v>
      </c>
      <c r="B310">
        <f t="shared" si="243"/>
        <v>480</v>
      </c>
      <c r="C310">
        <f t="shared" si="212"/>
        <v>1.0444894800583535</v>
      </c>
      <c r="D310">
        <f t="shared" si="213"/>
        <v>0.29291752404729698</v>
      </c>
      <c r="F310">
        <f t="shared" si="214"/>
        <v>6.0866251932432708E-4</v>
      </c>
      <c r="G310">
        <f t="shared" si="215"/>
        <v>1.4322752161827013E-2</v>
      </c>
      <c r="H310">
        <f t="shared" si="216"/>
        <v>-3.1272698978381732</v>
      </c>
      <c r="J310">
        <f t="shared" si="217"/>
        <v>15</v>
      </c>
      <c r="M310">
        <f t="shared" si="218"/>
        <v>1.6620190400350502E-3</v>
      </c>
      <c r="N310">
        <f t="shared" si="219"/>
        <v>-1.5707963250000001</v>
      </c>
      <c r="O310">
        <f t="shared" si="220"/>
        <v>54.295930566325616</v>
      </c>
      <c r="P310">
        <f t="shared" si="221"/>
        <v>1.552377698864907</v>
      </c>
      <c r="Q310">
        <f t="shared" si="222"/>
        <v>57.129240583818699</v>
      </c>
      <c r="R310">
        <f t="shared" si="223"/>
        <v>1.5532912617384882</v>
      </c>
      <c r="S310">
        <f t="shared" si="224"/>
        <v>0.99294354301765153</v>
      </c>
      <c r="T310">
        <f t="shared" si="225"/>
        <v>-0.11886775479493669</v>
      </c>
      <c r="U310">
        <f t="shared" si="226"/>
        <v>0.33034496716195949</v>
      </c>
      <c r="V310">
        <f t="shared" si="227"/>
        <v>-1.2341272895899846</v>
      </c>
      <c r="X310">
        <f t="shared" si="244"/>
        <v>-35.849482684541734</v>
      </c>
      <c r="Y310">
        <f t="shared" si="228"/>
        <v>-151.97561047993676</v>
      </c>
      <c r="Z310">
        <f t="shared" si="245"/>
        <v>28.024389520063238</v>
      </c>
      <c r="AC310">
        <v>1</v>
      </c>
      <c r="AD310">
        <f t="shared" si="229"/>
        <v>54.286720992000006</v>
      </c>
      <c r="AE310">
        <f t="shared" si="230"/>
        <v>-0.16372489311462521</v>
      </c>
      <c r="AF310">
        <f t="shared" si="231"/>
        <v>5.7302649936000004E-2</v>
      </c>
      <c r="AG310">
        <f t="shared" si="246"/>
        <v>97.94295383565786</v>
      </c>
      <c r="AH310">
        <f t="shared" si="247"/>
        <v>-297.29340034187828</v>
      </c>
      <c r="AJ310">
        <f t="shared" si="232"/>
        <v>10500</v>
      </c>
      <c r="AK310">
        <f t="shared" si="233"/>
        <v>1254.0232549152001</v>
      </c>
      <c r="AL310">
        <v>1</v>
      </c>
      <c r="AM310">
        <f t="shared" si="234"/>
        <v>57.120487827782405</v>
      </c>
      <c r="AN310">
        <f t="shared" si="248"/>
        <v>25.164432571342651</v>
      </c>
      <c r="AO310">
        <f t="shared" si="249"/>
        <v>-183.38140946922869</v>
      </c>
      <c r="AQ310">
        <f t="shared" si="235"/>
        <v>1.0850682670700227E-2</v>
      </c>
      <c r="AR310">
        <f t="shared" si="236"/>
        <v>-10.416655363872218</v>
      </c>
      <c r="AT310">
        <f t="shared" si="261"/>
        <v>-3095.7401454031356</v>
      </c>
      <c r="AU310">
        <f t="shared" si="262"/>
        <v>-1023.4638317728977</v>
      </c>
      <c r="AV310">
        <f t="shared" si="250"/>
        <v>-2.8223005780249641</v>
      </c>
      <c r="AW310">
        <f t="shared" si="251"/>
        <v>-1812.867206864147</v>
      </c>
      <c r="AX310">
        <f t="shared" si="252"/>
        <v>-757.51491314042596</v>
      </c>
      <c r="AY310">
        <f t="shared" si="260"/>
        <v>-2.7457897519731453</v>
      </c>
      <c r="BA310">
        <f t="shared" si="237"/>
        <v>1.659500365238163</v>
      </c>
      <c r="BB310">
        <f t="shared" si="253"/>
        <v>4.3995470465634563</v>
      </c>
      <c r="BC310">
        <f t="shared" si="254"/>
        <v>-7.6510826051818803E-2</v>
      </c>
      <c r="BD310">
        <f t="shared" si="238"/>
        <v>-184.38374742483796</v>
      </c>
      <c r="BF310">
        <f t="shared" si="239"/>
        <v>-36.013015183213994</v>
      </c>
      <c r="BG310">
        <f t="shared" si="240"/>
        <v>-166.78017628150647</v>
      </c>
      <c r="BH310">
        <f t="shared" si="255"/>
        <v>13.219823718493529</v>
      </c>
      <c r="BI310">
        <f t="shared" si="256"/>
        <v>13.219823718493529</v>
      </c>
      <c r="BJ310">
        <f t="shared" si="241"/>
        <v>0</v>
      </c>
      <c r="BK310">
        <f t="shared" si="257"/>
        <v>0</v>
      </c>
      <c r="BM310">
        <f t="shared" si="258"/>
        <v>-40.41256222977745</v>
      </c>
      <c r="BN310">
        <f t="shared" si="242"/>
        <v>-162.39642885666851</v>
      </c>
      <c r="BQ310" s="56">
        <f t="shared" si="259"/>
        <v>21.301507846848594</v>
      </c>
      <c r="BR310" s="59"/>
      <c r="BS310" s="59"/>
      <c r="BT310" s="59">
        <v>100000</v>
      </c>
      <c r="BU310" s="59">
        <v>6.1811499999999997</v>
      </c>
      <c r="BV310" s="59">
        <v>-129.59</v>
      </c>
      <c r="BY310" s="59"/>
      <c r="BZ310" s="59"/>
      <c r="CA310" s="59"/>
      <c r="CC310" s="59"/>
    </row>
    <row r="311" spans="1:81" x14ac:dyDescent="0.2">
      <c r="A311">
        <f t="shared" si="263"/>
        <v>485000</v>
      </c>
      <c r="B311">
        <f t="shared" si="243"/>
        <v>485</v>
      </c>
      <c r="C311">
        <f t="shared" si="212"/>
        <v>1.04540093150792</v>
      </c>
      <c r="D311">
        <f t="shared" si="213"/>
        <v>0.29579468076533483</v>
      </c>
      <c r="F311">
        <f t="shared" si="214"/>
        <v>5.9617112895371473E-4</v>
      </c>
      <c r="G311">
        <f t="shared" si="215"/>
        <v>1.4174934296092248E-2</v>
      </c>
      <c r="H311">
        <f t="shared" si="216"/>
        <v>-3.127417715703908</v>
      </c>
      <c r="J311">
        <f t="shared" si="217"/>
        <v>15</v>
      </c>
      <c r="M311">
        <f t="shared" si="218"/>
        <v>1.6448848231274721E-3</v>
      </c>
      <c r="N311">
        <f t="shared" si="219"/>
        <v>-1.5707963250000001</v>
      </c>
      <c r="O311">
        <f t="shared" si="220"/>
        <v>54.861322315116524</v>
      </c>
      <c r="P311">
        <f t="shared" si="221"/>
        <v>1.5525675393469476</v>
      </c>
      <c r="Q311">
        <f t="shared" si="222"/>
        <v>57.724155444371604</v>
      </c>
      <c r="R311">
        <f t="shared" si="223"/>
        <v>1.5534716900307382</v>
      </c>
      <c r="S311">
        <f t="shared" si="224"/>
        <v>0.99279736058552004</v>
      </c>
      <c r="T311">
        <f t="shared" si="225"/>
        <v>-0.12009414969791356</v>
      </c>
      <c r="U311">
        <f t="shared" si="226"/>
        <v>0.32730588465140897</v>
      </c>
      <c r="V311">
        <f t="shared" si="227"/>
        <v>-1.2373453265974457</v>
      </c>
      <c r="X311">
        <f t="shared" si="244"/>
        <v>-36.013622762443937</v>
      </c>
      <c r="Y311">
        <f t="shared" si="228"/>
        <v>-152.05266323567582</v>
      </c>
      <c r="Z311">
        <f t="shared" si="245"/>
        <v>27.947336764324177</v>
      </c>
      <c r="AC311">
        <v>1</v>
      </c>
      <c r="AD311">
        <f t="shared" si="229"/>
        <v>54.852207669000009</v>
      </c>
      <c r="AE311">
        <f t="shared" si="230"/>
        <v>-0.16715359367572794</v>
      </c>
      <c r="AF311">
        <f t="shared" si="231"/>
        <v>5.78995525395E-2</v>
      </c>
      <c r="AG311">
        <f t="shared" si="246"/>
        <v>96.14914695094464</v>
      </c>
      <c r="AH311">
        <f t="shared" si="247"/>
        <v>-294.84986831391291</v>
      </c>
      <c r="AJ311">
        <f t="shared" si="232"/>
        <v>10500</v>
      </c>
      <c r="AK311">
        <f t="shared" si="233"/>
        <v>1267.0859971539001</v>
      </c>
      <c r="AL311">
        <v>1</v>
      </c>
      <c r="AM311">
        <f t="shared" si="234"/>
        <v>57.715492909321803</v>
      </c>
      <c r="AN311">
        <f t="shared" si="248"/>
        <v>25.098599080838284</v>
      </c>
      <c r="AO311">
        <f t="shared" si="249"/>
        <v>-181.49202013013266</v>
      </c>
      <c r="AQ311">
        <f t="shared" si="235"/>
        <v>1.0628110715154942E-2</v>
      </c>
      <c r="AR311">
        <f t="shared" si="236"/>
        <v>-10.309267393700294</v>
      </c>
      <c r="AT311">
        <f t="shared" si="261"/>
        <v>-3038.6642496664854</v>
      </c>
      <c r="AU311">
        <f t="shared" si="262"/>
        <v>-994.36096263826073</v>
      </c>
      <c r="AV311">
        <f t="shared" si="250"/>
        <v>-2.8253395133704671</v>
      </c>
      <c r="AW311">
        <f t="shared" si="251"/>
        <v>-1775.0851132948192</v>
      </c>
      <c r="AX311">
        <f t="shared" si="252"/>
        <v>-749.44428563343047</v>
      </c>
      <c r="AY311">
        <f t="shared" si="260"/>
        <v>-2.742094417653818</v>
      </c>
      <c r="BA311">
        <f t="shared" si="237"/>
        <v>1.6593354405085241</v>
      </c>
      <c r="BB311">
        <f t="shared" si="253"/>
        <v>4.3986837811985771</v>
      </c>
      <c r="BC311">
        <f t="shared" si="254"/>
        <v>-8.3245095716649065E-2</v>
      </c>
      <c r="BD311">
        <f t="shared" si="238"/>
        <v>-184.76959265517661</v>
      </c>
      <c r="BF311">
        <f t="shared" si="239"/>
        <v>-36.186414574210161</v>
      </c>
      <c r="BG311">
        <f t="shared" si="240"/>
        <v>-167.00964191456839</v>
      </c>
      <c r="BH311">
        <f t="shared" si="255"/>
        <v>12.990358085431609</v>
      </c>
      <c r="BI311">
        <f t="shared" si="256"/>
        <v>12.990358085431609</v>
      </c>
      <c r="BJ311">
        <f t="shared" si="241"/>
        <v>0</v>
      </c>
      <c r="BK311">
        <f t="shared" si="257"/>
        <v>0</v>
      </c>
      <c r="BM311">
        <f t="shared" si="258"/>
        <v>-40.585098355408739</v>
      </c>
      <c r="BN311">
        <f t="shared" si="242"/>
        <v>-162.24004925939178</v>
      </c>
      <c r="BQ311" s="56">
        <f t="shared" si="259"/>
        <v>21.300644581483713</v>
      </c>
      <c r="BR311" s="59"/>
      <c r="BS311" s="59"/>
      <c r="BT311" s="59">
        <v>102329.299</v>
      </c>
      <c r="BU311" s="59">
        <v>6.3762999999999996</v>
      </c>
      <c r="BV311" s="59">
        <v>-129.61099999999999</v>
      </c>
      <c r="BY311" s="59"/>
      <c r="BZ311" s="59"/>
      <c r="CA311" s="59"/>
      <c r="CC311" s="59"/>
    </row>
    <row r="312" spans="1:81" x14ac:dyDescent="0.2">
      <c r="A312">
        <f t="shared" si="263"/>
        <v>490000</v>
      </c>
      <c r="B312">
        <f t="shared" si="243"/>
        <v>490</v>
      </c>
      <c r="C312">
        <f t="shared" si="212"/>
        <v>1.046321021700052</v>
      </c>
      <c r="D312">
        <f t="shared" si="213"/>
        <v>0.29866680112576149</v>
      </c>
      <c r="F312">
        <f t="shared" si="214"/>
        <v>5.840604272651734E-4</v>
      </c>
      <c r="G312">
        <f t="shared" si="215"/>
        <v>1.4030137966600761E-2</v>
      </c>
      <c r="H312">
        <f t="shared" si="216"/>
        <v>-3.1275625120333994</v>
      </c>
      <c r="J312">
        <f t="shared" si="217"/>
        <v>15</v>
      </c>
      <c r="M312">
        <f t="shared" si="218"/>
        <v>1.6281002841159675E-3</v>
      </c>
      <c r="N312">
        <f t="shared" si="219"/>
        <v>-1.5707963250000001</v>
      </c>
      <c r="O312">
        <f t="shared" si="220"/>
        <v>55.426716000739937</v>
      </c>
      <c r="P312">
        <f t="shared" si="221"/>
        <v>1.5527535068076377</v>
      </c>
      <c r="Q312">
        <f t="shared" si="222"/>
        <v>58.319072145758867</v>
      </c>
      <c r="R312">
        <f t="shared" si="223"/>
        <v>1.5536484372068258</v>
      </c>
      <c r="S312">
        <f t="shared" si="224"/>
        <v>0.99264972886060898</v>
      </c>
      <c r="T312">
        <f t="shared" si="225"/>
        <v>-0.12132018170778562</v>
      </c>
      <c r="U312">
        <f t="shared" si="226"/>
        <v>0.32431894258567912</v>
      </c>
      <c r="V312">
        <f t="shared" si="227"/>
        <v>-1.2405046612266621</v>
      </c>
      <c r="X312">
        <f t="shared" si="244"/>
        <v>-36.17613518198096</v>
      </c>
      <c r="Y312">
        <f t="shared" si="228"/>
        <v>-152.12688006160565</v>
      </c>
      <c r="Z312">
        <f t="shared" si="245"/>
        <v>27.873119938394353</v>
      </c>
      <c r="AC312">
        <v>1</v>
      </c>
      <c r="AD312">
        <f t="shared" si="229"/>
        <v>55.417694346000005</v>
      </c>
      <c r="AE312">
        <f t="shared" si="230"/>
        <v>-0.17061782481259338</v>
      </c>
      <c r="AF312">
        <f t="shared" si="231"/>
        <v>5.8496455142999997E-2</v>
      </c>
      <c r="AG312">
        <f t="shared" si="246"/>
        <v>94.402270339183687</v>
      </c>
      <c r="AH312">
        <f t="shared" si="247"/>
        <v>-292.44011420560417</v>
      </c>
      <c r="AJ312">
        <f t="shared" si="232"/>
        <v>10500</v>
      </c>
      <c r="AK312">
        <f t="shared" si="233"/>
        <v>1280.1487393926002</v>
      </c>
      <c r="AL312">
        <v>1</v>
      </c>
      <c r="AM312">
        <f t="shared" si="234"/>
        <v>58.310497990861208</v>
      </c>
      <c r="AN312">
        <f t="shared" si="248"/>
        <v>25.034769811209657</v>
      </c>
      <c r="AO312">
        <f t="shared" si="249"/>
        <v>-179.64115538561327</v>
      </c>
      <c r="AQ312">
        <f t="shared" si="235"/>
        <v>1.0412317354938198E-2</v>
      </c>
      <c r="AR312">
        <f t="shared" si="236"/>
        <v>-10.204071007839433</v>
      </c>
      <c r="AT312">
        <f t="shared" si="261"/>
        <v>-2983.0967444968601</v>
      </c>
      <c r="AU312">
        <f t="shared" si="262"/>
        <v>-966.33244911870781</v>
      </c>
      <c r="AV312">
        <f t="shared" si="250"/>
        <v>-2.8283234001997131</v>
      </c>
      <c r="AW312">
        <f t="shared" si="251"/>
        <v>-1738.4588658112389</v>
      </c>
      <c r="AX312">
        <f t="shared" si="252"/>
        <v>-741.54817105832717</v>
      </c>
      <c r="AY312">
        <f t="shared" si="260"/>
        <v>-2.7384057179904722</v>
      </c>
      <c r="BA312">
        <f t="shared" si="237"/>
        <v>1.6590971112741937</v>
      </c>
      <c r="BB312">
        <f t="shared" si="253"/>
        <v>4.3974361431054874</v>
      </c>
      <c r="BC312">
        <f t="shared" si="254"/>
        <v>-8.9917682209240901E-2</v>
      </c>
      <c r="BD312">
        <f t="shared" si="238"/>
        <v>-185.15190370007497</v>
      </c>
      <c r="BF312">
        <f t="shared" si="239"/>
        <v>-36.358284022464431</v>
      </c>
      <c r="BG312">
        <f t="shared" si="240"/>
        <v>-167.23568880295099</v>
      </c>
      <c r="BH312">
        <f t="shared" si="255"/>
        <v>12.764311197049011</v>
      </c>
      <c r="BI312">
        <f t="shared" si="256"/>
        <v>12.764311197049011</v>
      </c>
      <c r="BJ312">
        <f t="shared" si="241"/>
        <v>0</v>
      </c>
      <c r="BK312">
        <f t="shared" si="257"/>
        <v>0</v>
      </c>
      <c r="BM312">
        <f t="shared" si="258"/>
        <v>-40.755720165569926</v>
      </c>
      <c r="BN312">
        <f t="shared" si="242"/>
        <v>-162.08378510287599</v>
      </c>
      <c r="BQ312" s="56">
        <f t="shared" si="259"/>
        <v>21.299396943390626</v>
      </c>
      <c r="BR312" s="59"/>
      <c r="BS312" s="59"/>
      <c r="BT312" s="59">
        <v>104712.855</v>
      </c>
      <c r="BU312" s="59">
        <v>6.5692300000000001</v>
      </c>
      <c r="BV312" s="59">
        <v>-129.61699999999999</v>
      </c>
      <c r="BY312" s="59"/>
      <c r="BZ312" s="59"/>
      <c r="CA312" s="59"/>
      <c r="CC312" s="59"/>
    </row>
    <row r="313" spans="1:81" x14ac:dyDescent="0.2">
      <c r="A313">
        <f t="shared" si="263"/>
        <v>495000</v>
      </c>
      <c r="B313">
        <f t="shared" si="243"/>
        <v>495</v>
      </c>
      <c r="C313">
        <f t="shared" si="212"/>
        <v>1.0472497278653321</v>
      </c>
      <c r="D313">
        <f t="shared" si="213"/>
        <v>0.30153385108122044</v>
      </c>
      <c r="F313">
        <f t="shared" si="214"/>
        <v>5.7231509829566978E-4</v>
      </c>
      <c r="G313">
        <f t="shared" si="215"/>
        <v>1.388827141869859E-2</v>
      </c>
      <c r="H313">
        <f t="shared" si="216"/>
        <v>-3.1277043785813015</v>
      </c>
      <c r="J313">
        <f t="shared" si="217"/>
        <v>15</v>
      </c>
      <c r="M313">
        <f t="shared" si="218"/>
        <v>1.6116548267006545E-3</v>
      </c>
      <c r="N313">
        <f t="shared" si="219"/>
        <v>-1.5707963250000001</v>
      </c>
      <c r="O313">
        <f t="shared" si="220"/>
        <v>55.992111564522965</v>
      </c>
      <c r="P313">
        <f t="shared" si="221"/>
        <v>1.5529357185605723</v>
      </c>
      <c r="Q313">
        <f t="shared" si="222"/>
        <v>58.913990632213981</v>
      </c>
      <c r="R313">
        <f t="shared" si="223"/>
        <v>1.5538216147722093</v>
      </c>
      <c r="S313">
        <f t="shared" si="224"/>
        <v>0.99250064982054087</v>
      </c>
      <c r="T313">
        <f t="shared" si="225"/>
        <v>-0.12254584730141591</v>
      </c>
      <c r="U313">
        <f t="shared" si="226"/>
        <v>0.32138290290782928</v>
      </c>
      <c r="V313">
        <f t="shared" si="227"/>
        <v>-1.2436068238257127</v>
      </c>
      <c r="X313">
        <f t="shared" si="244"/>
        <v>-36.337047843294712</v>
      </c>
      <c r="Y313">
        <f t="shared" si="228"/>
        <v>-152.19834253590992</v>
      </c>
      <c r="Z313">
        <f t="shared" si="245"/>
        <v>27.801657464090084</v>
      </c>
      <c r="AC313">
        <v>1</v>
      </c>
      <c r="AD313">
        <f t="shared" si="229"/>
        <v>55.983181023000007</v>
      </c>
      <c r="AE313">
        <f t="shared" si="230"/>
        <v>-0.17411758652522158</v>
      </c>
      <c r="AF313">
        <f t="shared" si="231"/>
        <v>5.9093357746499993E-2</v>
      </c>
      <c r="AG313">
        <f t="shared" si="246"/>
        <v>92.700771111340885</v>
      </c>
      <c r="AH313">
        <f t="shared" si="247"/>
        <v>-290.0636414749826</v>
      </c>
      <c r="AJ313">
        <f t="shared" si="232"/>
        <v>10500</v>
      </c>
      <c r="AK313">
        <f t="shared" si="233"/>
        <v>1293.2114816313001</v>
      </c>
      <c r="AL313">
        <v>1</v>
      </c>
      <c r="AM313">
        <f t="shared" si="234"/>
        <v>58.905503072400606</v>
      </c>
      <c r="AN313">
        <f t="shared" si="248"/>
        <v>24.972864233313715</v>
      </c>
      <c r="AO313">
        <f t="shared" si="249"/>
        <v>-177.8276491908041</v>
      </c>
      <c r="AQ313">
        <f t="shared" si="235"/>
        <v>1.0203030095877873E-2</v>
      </c>
      <c r="AR313">
        <f t="shared" si="236"/>
        <v>-10.100999794919096</v>
      </c>
      <c r="AT313">
        <f t="shared" si="261"/>
        <v>-2928.9869542947249</v>
      </c>
      <c r="AU313">
        <f t="shared" si="262"/>
        <v>-939.32999804818542</v>
      </c>
      <c r="AV313">
        <f t="shared" si="250"/>
        <v>-2.8312536581883689</v>
      </c>
      <c r="AW313">
        <f t="shared" si="251"/>
        <v>-1702.9417796312164</v>
      </c>
      <c r="AX313">
        <f t="shared" si="252"/>
        <v>-733.82080809284389</v>
      </c>
      <c r="AY313">
        <f t="shared" si="260"/>
        <v>-2.7347237979892451</v>
      </c>
      <c r="BA313">
        <f t="shared" si="237"/>
        <v>1.6587876153334085</v>
      </c>
      <c r="BB313">
        <f t="shared" si="253"/>
        <v>4.3958156844009828</v>
      </c>
      <c r="BC313">
        <f t="shared" si="254"/>
        <v>-9.6529860199123796E-2</v>
      </c>
      <c r="BD313">
        <f t="shared" si="238"/>
        <v>-185.53075359271747</v>
      </c>
      <c r="BF313">
        <f t="shared" si="239"/>
        <v>-36.528649946485146</v>
      </c>
      <c r="BG313">
        <f t="shared" si="240"/>
        <v>-167.45839718776298</v>
      </c>
      <c r="BH313">
        <f t="shared" si="255"/>
        <v>12.541602812237016</v>
      </c>
      <c r="BI313">
        <f t="shared" si="256"/>
        <v>12.541602812237016</v>
      </c>
      <c r="BJ313">
        <f t="shared" si="241"/>
        <v>0</v>
      </c>
      <c r="BK313">
        <f t="shared" si="257"/>
        <v>0</v>
      </c>
      <c r="BM313">
        <f t="shared" si="258"/>
        <v>-40.924465630886132</v>
      </c>
      <c r="BN313">
        <f t="shared" si="242"/>
        <v>-161.92764359504551</v>
      </c>
      <c r="BQ313" s="56">
        <f t="shared" si="259"/>
        <v>21.297776484686118</v>
      </c>
      <c r="BR313" s="59"/>
      <c r="BS313" s="59"/>
      <c r="BT313" s="59">
        <v>107151.931</v>
      </c>
      <c r="BU313" s="59">
        <v>6.77081</v>
      </c>
      <c r="BV313" s="59">
        <v>-129.57599999999999</v>
      </c>
      <c r="BY313" s="59"/>
      <c r="BZ313" s="59"/>
      <c r="CA313" s="59"/>
      <c r="CC313" s="59"/>
    </row>
    <row r="314" spans="1:81" x14ac:dyDescent="0.2">
      <c r="A314">
        <f t="shared" si="263"/>
        <v>500000</v>
      </c>
      <c r="B314">
        <f t="shared" si="243"/>
        <v>500</v>
      </c>
      <c r="C314">
        <f t="shared" si="212"/>
        <v>1.0481870271021962</v>
      </c>
      <c r="D314">
        <f t="shared" si="213"/>
        <v>0.30439579703788294</v>
      </c>
      <c r="F314">
        <f t="shared" si="214"/>
        <v>5.6092058877027268E-4</v>
      </c>
      <c r="G314">
        <f t="shared" si="215"/>
        <v>1.3749246577429541E-2</v>
      </c>
      <c r="H314">
        <f t="shared" si="216"/>
        <v>-3.1278434034225708</v>
      </c>
      <c r="J314">
        <f t="shared" si="217"/>
        <v>15</v>
      </c>
      <c r="M314">
        <f t="shared" si="218"/>
        <v>1.5955382784336482E-3</v>
      </c>
      <c r="N314">
        <f t="shared" si="219"/>
        <v>-1.5707963250000001</v>
      </c>
      <c r="O314">
        <f t="shared" si="220"/>
        <v>56.557508950138732</v>
      </c>
      <c r="P314">
        <f t="shared" si="221"/>
        <v>1.5531142872292987</v>
      </c>
      <c r="Q314">
        <f t="shared" si="222"/>
        <v>59.508910850200245</v>
      </c>
      <c r="R314">
        <f t="shared" si="223"/>
        <v>1.5539913297742709</v>
      </c>
      <c r="S314">
        <f t="shared" si="224"/>
        <v>0.9923501254607241</v>
      </c>
      <c r="T314">
        <f t="shared" si="225"/>
        <v>-0.12377114296217653</v>
      </c>
      <c r="U314">
        <f t="shared" si="226"/>
        <v>0.31849656286939348</v>
      </c>
      <c r="V314">
        <f t="shared" si="227"/>
        <v>-1.2466532942569302</v>
      </c>
      <c r="X314">
        <f t="shared" si="244"/>
        <v>-36.496387961926338</v>
      </c>
      <c r="Y314">
        <f t="shared" si="228"/>
        <v>-152.26712963185742</v>
      </c>
      <c r="Z314">
        <f t="shared" si="245"/>
        <v>27.732870368142585</v>
      </c>
      <c r="AC314">
        <v>1</v>
      </c>
      <c r="AD314">
        <f t="shared" si="229"/>
        <v>56.548667700000003</v>
      </c>
      <c r="AE314">
        <f t="shared" si="230"/>
        <v>-0.17765287881361247</v>
      </c>
      <c r="AF314">
        <f t="shared" si="231"/>
        <v>5.9690260350000003E-2</v>
      </c>
      <c r="AG314">
        <f t="shared" si="246"/>
        <v>91.043156845750829</v>
      </c>
      <c r="AH314">
        <f t="shared" si="247"/>
        <v>-287.71995312509779</v>
      </c>
      <c r="AJ314">
        <f t="shared" si="232"/>
        <v>10500</v>
      </c>
      <c r="AK314">
        <f t="shared" si="233"/>
        <v>1306.27422387</v>
      </c>
      <c r="AL314">
        <v>1</v>
      </c>
      <c r="AM314">
        <f t="shared" si="234"/>
        <v>59.500508153940011</v>
      </c>
      <c r="AN314">
        <f t="shared" si="248"/>
        <v>24.912805821931187</v>
      </c>
      <c r="AO314">
        <f t="shared" si="249"/>
        <v>-176.05038207534079</v>
      </c>
      <c r="AQ314">
        <f t="shared" si="235"/>
        <v>9.9999900000099992E-3</v>
      </c>
      <c r="AR314">
        <f t="shared" si="236"/>
        <v>-9.9999900000099995</v>
      </c>
      <c r="AT314">
        <f t="shared" si="261"/>
        <v>-2876.2862233962965</v>
      </c>
      <c r="AU314">
        <f t="shared" si="262"/>
        <v>-913.30785468090448</v>
      </c>
      <c r="AV314">
        <f t="shared" si="250"/>
        <v>-2.8341316609507579</v>
      </c>
      <c r="AW314">
        <f t="shared" si="251"/>
        <v>-1668.4895033698033</v>
      </c>
      <c r="AX314">
        <f t="shared" si="252"/>
        <v>-726.25669328786284</v>
      </c>
      <c r="AY314">
        <f t="shared" si="260"/>
        <v>-2.731048796472173</v>
      </c>
      <c r="BA314">
        <f t="shared" si="237"/>
        <v>1.6584091070900338</v>
      </c>
      <c r="BB314">
        <f t="shared" si="253"/>
        <v>4.3938334800770154</v>
      </c>
      <c r="BC314">
        <f t="shared" si="254"/>
        <v>-0.10308286447858483</v>
      </c>
      <c r="BD314">
        <f t="shared" si="238"/>
        <v>-185.90621308149076</v>
      </c>
      <c r="BF314">
        <f t="shared" si="239"/>
        <v>-36.697538107408334</v>
      </c>
      <c r="BG314">
        <f t="shared" si="240"/>
        <v>-167.67784478849893</v>
      </c>
      <c r="BH314">
        <f t="shared" si="255"/>
        <v>12.32215521150107</v>
      </c>
      <c r="BI314">
        <f t="shared" si="256"/>
        <v>12.32215521150107</v>
      </c>
      <c r="BJ314">
        <f t="shared" si="241"/>
        <v>0</v>
      </c>
      <c r="BK314">
        <f t="shared" si="257"/>
        <v>0</v>
      </c>
      <c r="BM314">
        <f t="shared" si="258"/>
        <v>-41.091371587485348</v>
      </c>
      <c r="BN314">
        <f t="shared" si="242"/>
        <v>-161.77163170700817</v>
      </c>
      <c r="BQ314" s="56">
        <f t="shared" si="259"/>
        <v>21.295794280362152</v>
      </c>
      <c r="BR314" s="59"/>
      <c r="BS314" s="59"/>
      <c r="BT314" s="59">
        <v>109647.82</v>
      </c>
      <c r="BU314" s="59">
        <v>6.9849899999999998</v>
      </c>
      <c r="BV314" s="59">
        <v>-129.52799999999999</v>
      </c>
      <c r="BY314" s="59"/>
      <c r="BZ314" s="59"/>
      <c r="CA314" s="59"/>
      <c r="CC314" s="59"/>
    </row>
    <row r="315" spans="1:81" x14ac:dyDescent="0.2">
      <c r="A315">
        <f t="shared" si="263"/>
        <v>505000</v>
      </c>
      <c r="B315">
        <f t="shared" si="243"/>
        <v>505</v>
      </c>
      <c r="C315">
        <f t="shared" si="212"/>
        <v>1.0491328963793984</v>
      </c>
      <c r="D315">
        <f t="shared" si="213"/>
        <v>0.30725260585585856</v>
      </c>
      <c r="F315">
        <f t="shared" si="214"/>
        <v>5.498630629695632E-4</v>
      </c>
      <c r="G315">
        <f t="shared" si="215"/>
        <v>1.3612978864814647E-2</v>
      </c>
      <c r="H315">
        <f t="shared" si="216"/>
        <v>-3.1279796711351855</v>
      </c>
      <c r="J315">
        <f t="shared" si="217"/>
        <v>15</v>
      </c>
      <c r="M315">
        <f t="shared" si="218"/>
        <v>1.579740869736285E-3</v>
      </c>
      <c r="N315">
        <f t="shared" si="219"/>
        <v>-1.5707963250000001</v>
      </c>
      <c r="O315">
        <f t="shared" si="220"/>
        <v>57.122908103490218</v>
      </c>
      <c r="P315">
        <f t="shared" si="221"/>
        <v>1.5532893209793497</v>
      </c>
      <c r="Q315">
        <f t="shared" si="222"/>
        <v>60.103832748300505</v>
      </c>
      <c r="R315">
        <f t="shared" si="223"/>
        <v>1.5541576850228886</v>
      </c>
      <c r="S315">
        <f t="shared" si="224"/>
        <v>0.99219815779428178</v>
      </c>
      <c r="T315">
        <f t="shared" si="225"/>
        <v>-0.12499606518000522</v>
      </c>
      <c r="U315">
        <f t="shared" si="226"/>
        <v>0.31565875396147064</v>
      </c>
      <c r="V315">
        <f t="shared" si="227"/>
        <v>-1.2496455038582555</v>
      </c>
      <c r="X315">
        <f t="shared" si="244"/>
        <v>-36.654182090552816</v>
      </c>
      <c r="Y315">
        <f t="shared" si="228"/>
        <v>-152.33331781469596</v>
      </c>
      <c r="Z315">
        <f t="shared" si="245"/>
        <v>27.66668218530404</v>
      </c>
      <c r="AC315">
        <v>1</v>
      </c>
      <c r="AD315">
        <f t="shared" si="229"/>
        <v>57.114154377000006</v>
      </c>
      <c r="AE315">
        <f t="shared" si="230"/>
        <v>-0.18122370167776608</v>
      </c>
      <c r="AF315">
        <f t="shared" si="231"/>
        <v>6.0287162953499999E-2</v>
      </c>
      <c r="AG315">
        <f t="shared" si="246"/>
        <v>89.42799296568603</v>
      </c>
      <c r="AH315">
        <f t="shared" si="247"/>
        <v>-285.40855259893959</v>
      </c>
      <c r="AJ315">
        <f t="shared" si="232"/>
        <v>10500</v>
      </c>
      <c r="AK315">
        <f t="shared" si="233"/>
        <v>1319.3369661087002</v>
      </c>
      <c r="AL315">
        <v>1</v>
      </c>
      <c r="AM315">
        <f t="shared" si="234"/>
        <v>60.095513235479409</v>
      </c>
      <c r="AN315">
        <f t="shared" si="248"/>
        <v>24.854521819251314</v>
      </c>
      <c r="AO315">
        <f t="shared" si="249"/>
        <v>-174.30827884162895</v>
      </c>
      <c r="AQ315">
        <f t="shared" si="235"/>
        <v>9.8029508842751838E-3</v>
      </c>
      <c r="AR315">
        <f t="shared" si="236"/>
        <v>-9.900980393117937</v>
      </c>
      <c r="AT315">
        <f t="shared" si="261"/>
        <v>-2824.9478250875486</v>
      </c>
      <c r="AU315">
        <f t="shared" si="262"/>
        <v>-888.22265097222567</v>
      </c>
      <c r="AV315">
        <f t="shared" si="250"/>
        <v>-2.8369587377823278</v>
      </c>
      <c r="AW315">
        <f t="shared" si="251"/>
        <v>-1635.0598805114107</v>
      </c>
      <c r="AX315">
        <f t="shared" si="252"/>
        <v>-718.8505664655454</v>
      </c>
      <c r="AY315">
        <f t="shared" si="260"/>
        <v>-2.7273808463810334</v>
      </c>
      <c r="BA315">
        <f t="shared" si="237"/>
        <v>1.6579636614321349</v>
      </c>
      <c r="BB315">
        <f t="shared" si="253"/>
        <v>4.3915001526029416</v>
      </c>
      <c r="BC315">
        <f t="shared" si="254"/>
        <v>-0.10957789140129437</v>
      </c>
      <c r="BD315">
        <f t="shared" si="238"/>
        <v>-186.27835071241111</v>
      </c>
      <c r="BF315">
        <f t="shared" si="239"/>
        <v>-36.86497362967151</v>
      </c>
      <c r="BG315">
        <f t="shared" si="240"/>
        <v>-167.8941068959121</v>
      </c>
      <c r="BH315">
        <f t="shared" si="255"/>
        <v>12.105893104087897</v>
      </c>
      <c r="BI315">
        <f t="shared" si="256"/>
        <v>12.105893104087897</v>
      </c>
      <c r="BJ315">
        <f t="shared" si="241"/>
        <v>0</v>
      </c>
      <c r="BK315">
        <f t="shared" si="257"/>
        <v>0</v>
      </c>
      <c r="BM315">
        <f t="shared" si="258"/>
        <v>-41.256473782274455</v>
      </c>
      <c r="BN315">
        <f t="shared" si="242"/>
        <v>-161.61575618350102</v>
      </c>
      <c r="BQ315" s="56">
        <f t="shared" si="259"/>
        <v>21.293460952888079</v>
      </c>
      <c r="BR315" s="59"/>
      <c r="BS315" s="59"/>
      <c r="BT315" s="59">
        <v>112201.845</v>
      </c>
      <c r="BU315" s="59">
        <v>7.2120699999999998</v>
      </c>
      <c r="BV315" s="59">
        <v>-129.44300000000001</v>
      </c>
      <c r="BY315" s="59"/>
      <c r="BZ315" s="59"/>
      <c r="CA315" s="59"/>
      <c r="CC315" s="59"/>
    </row>
    <row r="316" spans="1:81" x14ac:dyDescent="0.2">
      <c r="A316">
        <f t="shared" si="263"/>
        <v>510000</v>
      </c>
      <c r="B316">
        <f t="shared" si="243"/>
        <v>510</v>
      </c>
      <c r="C316">
        <f t="shared" si="212"/>
        <v>1.0500873125384707</v>
      </c>
      <c r="D316">
        <f t="shared" si="213"/>
        <v>0.31010424484952059</v>
      </c>
      <c r="F316">
        <f t="shared" si="214"/>
        <v>5.3912936068293237E-4</v>
      </c>
      <c r="G316">
        <f t="shared" si="215"/>
        <v>1.3479387027917681E-2</v>
      </c>
      <c r="H316">
        <f t="shared" si="216"/>
        <v>-3.1281132629720827</v>
      </c>
      <c r="J316">
        <f t="shared" si="217"/>
        <v>15</v>
      </c>
      <c r="M316">
        <f t="shared" si="218"/>
        <v>1.5642532141506354E-3</v>
      </c>
      <c r="N316">
        <f t="shared" si="219"/>
        <v>-1.5707963250000001</v>
      </c>
      <c r="O316">
        <f t="shared" si="220"/>
        <v>57.688308972601035</v>
      </c>
      <c r="P316">
        <f t="shared" si="221"/>
        <v>1.5534609237366399</v>
      </c>
      <c r="Q316">
        <f t="shared" si="222"/>
        <v>60.69875627711324</v>
      </c>
      <c r="R316">
        <f t="shared" si="223"/>
        <v>1.5543207792980414</v>
      </c>
      <c r="S316">
        <f t="shared" si="224"/>
        <v>0.99204474885197713</v>
      </c>
      <c r="T316">
        <f t="shared" si="225"/>
        <v>-0.12622061045146163</v>
      </c>
      <c r="U316">
        <f t="shared" si="226"/>
        <v>0.31286834087264415</v>
      </c>
      <c r="V316">
        <f t="shared" si="227"/>
        <v>-1.2525848373196262</v>
      </c>
      <c r="X316">
        <f t="shared" si="244"/>
        <v>-36.810456139884423</v>
      </c>
      <c r="Y316">
        <f t="shared" si="228"/>
        <v>-152.39698113458925</v>
      </c>
      <c r="Z316">
        <f t="shared" si="245"/>
        <v>27.603018865410746</v>
      </c>
      <c r="AC316">
        <v>1</v>
      </c>
      <c r="AD316">
        <f t="shared" si="229"/>
        <v>57.679641054000001</v>
      </c>
      <c r="AE316">
        <f t="shared" si="230"/>
        <v>-0.18483005511768236</v>
      </c>
      <c r="AF316">
        <f t="shared" si="231"/>
        <v>6.0884065556999996E-2</v>
      </c>
      <c r="AG316">
        <f t="shared" si="246"/>
        <v>87.853900236592608</v>
      </c>
      <c r="AH316">
        <f t="shared" si="247"/>
        <v>-283.12894458229687</v>
      </c>
      <c r="AJ316">
        <f t="shared" si="232"/>
        <v>10500</v>
      </c>
      <c r="AK316">
        <f t="shared" si="233"/>
        <v>1332.3997083474003</v>
      </c>
      <c r="AL316">
        <v>1</v>
      </c>
      <c r="AM316">
        <f t="shared" si="234"/>
        <v>60.6905183170188</v>
      </c>
      <c r="AN316">
        <f t="shared" si="248"/>
        <v>24.797943014495726</v>
      </c>
      <c r="AO316">
        <f t="shared" si="249"/>
        <v>-172.60030639824103</v>
      </c>
      <c r="AQ316">
        <f t="shared" si="235"/>
        <v>9.6116785739344731E-3</v>
      </c>
      <c r="AR316">
        <f t="shared" si="236"/>
        <v>-9.8039121454131628</v>
      </c>
      <c r="AT316">
        <f t="shared" si="261"/>
        <v>-2774.9268750578499</v>
      </c>
      <c r="AU316">
        <f t="shared" si="262"/>
        <v>-864.03326396174896</v>
      </c>
      <c r="AV316">
        <f t="shared" si="250"/>
        <v>-2.8397361753300241</v>
      </c>
      <c r="AW316">
        <f t="shared" si="251"/>
        <v>-1602.6128203778335</v>
      </c>
      <c r="AX316">
        <f t="shared" si="252"/>
        <v>-711.59739711478983</v>
      </c>
      <c r="AY316">
        <f t="shared" si="260"/>
        <v>-2.7237200750617472</v>
      </c>
      <c r="BA316">
        <f t="shared" si="237"/>
        <v>1.6574532774069095</v>
      </c>
      <c r="BB316">
        <f t="shared" si="253"/>
        <v>4.3888258950763985</v>
      </c>
      <c r="BC316">
        <f t="shared" si="254"/>
        <v>-0.11601610026827691</v>
      </c>
      <c r="BD316">
        <f t="shared" si="238"/>
        <v>-186.64723290853442</v>
      </c>
      <c r="BF316">
        <f t="shared" si="239"/>
        <v>-37.030981020899773</v>
      </c>
      <c r="BG316">
        <f t="shared" si="240"/>
        <v>-168.10725646125729</v>
      </c>
      <c r="BH316">
        <f t="shared" si="255"/>
        <v>11.892743538742707</v>
      </c>
      <c r="BI316">
        <f t="shared" si="256"/>
        <v>11.892743538742707</v>
      </c>
      <c r="BJ316">
        <f t="shared" si="241"/>
        <v>0</v>
      </c>
      <c r="BK316">
        <f t="shared" si="257"/>
        <v>0</v>
      </c>
      <c r="BM316">
        <f t="shared" si="258"/>
        <v>-41.419806915976174</v>
      </c>
      <c r="BN316">
        <f t="shared" si="242"/>
        <v>-161.4600235527229</v>
      </c>
      <c r="BQ316" s="56">
        <f t="shared" si="259"/>
        <v>21.290786695361533</v>
      </c>
      <c r="BR316" s="59"/>
      <c r="BS316" s="59"/>
      <c r="BT316" s="59">
        <v>114815.36199999999</v>
      </c>
      <c r="BU316" s="59">
        <v>7.47248</v>
      </c>
      <c r="BV316" s="59">
        <v>-129.58500000000001</v>
      </c>
      <c r="BY316" s="59"/>
      <c r="BZ316" s="59"/>
      <c r="CA316" s="59"/>
      <c r="CC316" s="59"/>
    </row>
    <row r="317" spans="1:81" x14ac:dyDescent="0.2">
      <c r="A317">
        <f t="shared" si="263"/>
        <v>515000</v>
      </c>
      <c r="B317">
        <f t="shared" si="243"/>
        <v>515</v>
      </c>
      <c r="C317">
        <f t="shared" si="212"/>
        <v>1.0510502522961818</v>
      </c>
      <c r="D317">
        <f t="shared" si="213"/>
        <v>0.31295068178774799</v>
      </c>
      <c r="F317">
        <f t="shared" si="214"/>
        <v>5.2870695800892728E-4</v>
      </c>
      <c r="G317">
        <f t="shared" si="215"/>
        <v>1.3348392976960733E-2</v>
      </c>
      <c r="H317">
        <f t="shared" si="216"/>
        <v>-3.1282442570230393</v>
      </c>
      <c r="J317">
        <f t="shared" si="217"/>
        <v>15</v>
      </c>
      <c r="M317">
        <f t="shared" si="218"/>
        <v>1.5490662897414058E-3</v>
      </c>
      <c r="N317">
        <f t="shared" si="219"/>
        <v>-1.5707963250000001</v>
      </c>
      <c r="O317">
        <f t="shared" si="220"/>
        <v>58.253711507512591</v>
      </c>
      <c r="P317">
        <f t="shared" si="221"/>
        <v>1.5536291953931487</v>
      </c>
      <c r="Q317">
        <f t="shared" si="222"/>
        <v>61.29368138915482</v>
      </c>
      <c r="R317">
        <f t="shared" si="223"/>
        <v>1.5544807075453277</v>
      </c>
      <c r="S317">
        <f t="shared" si="224"/>
        <v>0.99188990068214067</v>
      </c>
      <c r="T317">
        <f t="shared" si="225"/>
        <v>-0.12744477527978307</v>
      </c>
      <c r="U317">
        <f t="shared" si="226"/>
        <v>0.3101242204739687</v>
      </c>
      <c r="V317">
        <f t="shared" si="227"/>
        <v>-1.2554726344782854</v>
      </c>
      <c r="X317">
        <f t="shared" si="244"/>
        <v>-36.965235398761976</v>
      </c>
      <c r="Y317">
        <f t="shared" si="228"/>
        <v>-152.45819131575797</v>
      </c>
      <c r="Z317">
        <f t="shared" si="245"/>
        <v>27.541808684242028</v>
      </c>
      <c r="AC317">
        <v>1</v>
      </c>
      <c r="AD317">
        <f t="shared" si="229"/>
        <v>58.245127731000004</v>
      </c>
      <c r="AE317">
        <f t="shared" si="230"/>
        <v>-0.18847193913336141</v>
      </c>
      <c r="AF317">
        <f t="shared" si="231"/>
        <v>6.1480968160499992E-2</v>
      </c>
      <c r="AG317">
        <f t="shared" si="246"/>
        <v>86.319552377745424</v>
      </c>
      <c r="AH317">
        <f t="shared" si="247"/>
        <v>-280.8806357225231</v>
      </c>
      <c r="AJ317">
        <f t="shared" si="232"/>
        <v>10500</v>
      </c>
      <c r="AK317">
        <f t="shared" si="233"/>
        <v>1345.4624505861002</v>
      </c>
      <c r="AL317">
        <v>1</v>
      </c>
      <c r="AM317">
        <f t="shared" si="234"/>
        <v>61.285523398558212</v>
      </c>
      <c r="AN317">
        <f t="shared" si="248"/>
        <v>24.743003538435229</v>
      </c>
      <c r="AO317">
        <f t="shared" si="249"/>
        <v>-170.92547171928049</v>
      </c>
      <c r="AQ317">
        <f t="shared" si="235"/>
        <v>9.4259502064754398E-3</v>
      </c>
      <c r="AR317">
        <f t="shared" si="236"/>
        <v>-9.7087287126697017</v>
      </c>
      <c r="AT317">
        <f t="shared" si="261"/>
        <v>-2726.1802490696209</v>
      </c>
      <c r="AU317">
        <f t="shared" si="262"/>
        <v>-840.70068352089697</v>
      </c>
      <c r="AV317">
        <f t="shared" si="250"/>
        <v>-2.8424652191935689</v>
      </c>
      <c r="AW317">
        <f t="shared" si="251"/>
        <v>-1571.1101778559816</v>
      </c>
      <c r="AX317">
        <f t="shared" si="252"/>
        <v>-704.49237170470383</v>
      </c>
      <c r="AY317">
        <f t="shared" si="260"/>
        <v>-2.720066604530762</v>
      </c>
      <c r="BA317">
        <f t="shared" si="237"/>
        <v>1.6568798817033434</v>
      </c>
      <c r="BB317">
        <f t="shared" si="253"/>
        <v>4.3858204930176976</v>
      </c>
      <c r="BC317">
        <f t="shared" si="254"/>
        <v>-0.12239861466280688</v>
      </c>
      <c r="BD317">
        <f t="shared" si="238"/>
        <v>-187.01292404644033</v>
      </c>
      <c r="BF317">
        <f t="shared" si="239"/>
        <v>-37.195584191040766</v>
      </c>
      <c r="BG317">
        <f t="shared" si="240"/>
        <v>-168.31736418203602</v>
      </c>
      <c r="BH317">
        <f t="shared" si="255"/>
        <v>11.682635817963984</v>
      </c>
      <c r="BI317">
        <f t="shared" si="256"/>
        <v>11.682635817963984</v>
      </c>
      <c r="BJ317">
        <f t="shared" si="241"/>
        <v>0</v>
      </c>
      <c r="BK317">
        <f t="shared" si="257"/>
        <v>0</v>
      </c>
      <c r="BM317">
        <f t="shared" si="258"/>
        <v>-41.581404684058469</v>
      </c>
      <c r="BN317">
        <f t="shared" si="242"/>
        <v>-161.30444013559568</v>
      </c>
      <c r="BQ317" s="56">
        <f t="shared" si="259"/>
        <v>21.287781293302835</v>
      </c>
      <c r="BR317" s="59"/>
      <c r="BS317" s="59"/>
      <c r="BT317" s="59">
        <v>117489.755</v>
      </c>
      <c r="BU317" s="59">
        <v>7.6753600000000004</v>
      </c>
      <c r="BV317" s="59">
        <v>-129.61699999999999</v>
      </c>
      <c r="BY317" s="59"/>
      <c r="BZ317" s="59"/>
      <c r="CA317" s="59"/>
      <c r="CC317" s="59"/>
    </row>
    <row r="318" spans="1:81" x14ac:dyDescent="0.2">
      <c r="A318">
        <f t="shared" si="263"/>
        <v>520000</v>
      </c>
      <c r="B318">
        <f t="shared" si="243"/>
        <v>520</v>
      </c>
      <c r="C318">
        <f t="shared" si="212"/>
        <v>1.0520216922469916</v>
      </c>
      <c r="D318">
        <f t="shared" si="213"/>
        <v>0.31579188489408283</v>
      </c>
      <c r="F318">
        <f t="shared" si="214"/>
        <v>5.1858393078441198E-4</v>
      </c>
      <c r="G318">
        <f t="shared" si="215"/>
        <v>1.3219921632810758E-2</v>
      </c>
      <c r="H318">
        <f t="shared" si="216"/>
        <v>-3.1283727283671894</v>
      </c>
      <c r="J318">
        <f t="shared" si="217"/>
        <v>15</v>
      </c>
      <c r="M318">
        <f t="shared" si="218"/>
        <v>1.5341714215708153E-3</v>
      </c>
      <c r="N318">
        <f t="shared" si="219"/>
        <v>-1.5707963250000001</v>
      </c>
      <c r="O318">
        <f t="shared" si="220"/>
        <v>58.819115660187009</v>
      </c>
      <c r="P318">
        <f t="shared" si="221"/>
        <v>1.5537942320007434</v>
      </c>
      <c r="Q318">
        <f t="shared" si="222"/>
        <v>61.888608038767288</v>
      </c>
      <c r="R318">
        <f t="shared" si="223"/>
        <v>1.5546375610602141</v>
      </c>
      <c r="S318">
        <f t="shared" si="224"/>
        <v>0.99173361535059568</v>
      </c>
      <c r="T318">
        <f t="shared" si="225"/>
        <v>-0.12866855617494027</v>
      </c>
      <c r="U318">
        <f t="shared" si="226"/>
        <v>0.3074253208311255</v>
      </c>
      <c r="V318">
        <f t="shared" si="227"/>
        <v>-1.2583101920367126</v>
      </c>
      <c r="X318">
        <f t="shared" si="244"/>
        <v>-37.118544553490366</v>
      </c>
      <c r="Y318">
        <f t="shared" si="228"/>
        <v>-152.51701784198036</v>
      </c>
      <c r="Z318">
        <f t="shared" si="245"/>
        <v>27.482982158019638</v>
      </c>
      <c r="AC318">
        <v>1</v>
      </c>
      <c r="AD318">
        <f t="shared" si="229"/>
        <v>58.810614407999999</v>
      </c>
      <c r="AE318">
        <f t="shared" si="230"/>
        <v>-0.19214935372480324</v>
      </c>
      <c r="AF318">
        <f t="shared" si="231"/>
        <v>6.2077870763999995E-2</v>
      </c>
      <c r="AG318">
        <f t="shared" si="246"/>
        <v>84.823673783243763</v>
      </c>
      <c r="AH318">
        <f t="shared" si="247"/>
        <v>-278.66313527051091</v>
      </c>
      <c r="AJ318">
        <f t="shared" si="232"/>
        <v>10500</v>
      </c>
      <c r="AK318">
        <f t="shared" si="233"/>
        <v>1358.5251928248001</v>
      </c>
      <c r="AL318">
        <v>1</v>
      </c>
      <c r="AM318">
        <f t="shared" si="234"/>
        <v>61.880528480097603</v>
      </c>
      <c r="AN318">
        <f t="shared" si="248"/>
        <v>24.689640671660332</v>
      </c>
      <c r="AO318">
        <f t="shared" si="249"/>
        <v>-169.28281992125318</v>
      </c>
      <c r="AQ318">
        <f t="shared" si="235"/>
        <v>9.2455535821435071E-3</v>
      </c>
      <c r="AR318">
        <f t="shared" si="236"/>
        <v>-9.6153757254292476</v>
      </c>
      <c r="AT318">
        <f t="shared" si="261"/>
        <v>-2678.6665046310804</v>
      </c>
      <c r="AU318">
        <f t="shared" si="262"/>
        <v>-818.18788878564294</v>
      </c>
      <c r="AV318">
        <f t="shared" si="250"/>
        <v>-2.8451470754605559</v>
      </c>
      <c r="AW318">
        <f t="shared" si="251"/>
        <v>-1540.5156412126364</v>
      </c>
      <c r="AX318">
        <f t="shared" si="252"/>
        <v>-697.53088184392334</v>
      </c>
      <c r="AY318">
        <f t="shared" si="260"/>
        <v>-2.716420551724712</v>
      </c>
      <c r="BA318">
        <f t="shared" si="237"/>
        <v>1.6562453319533186</v>
      </c>
      <c r="BB318">
        <f t="shared" si="253"/>
        <v>4.3824933448958872</v>
      </c>
      <c r="BC318">
        <f t="shared" si="254"/>
        <v>-0.12872652373584392</v>
      </c>
      <c r="BD318">
        <f t="shared" si="238"/>
        <v>-187.37548652988218</v>
      </c>
      <c r="BF318">
        <f t="shared" si="239"/>
        <v>-37.358806470783001</v>
      </c>
      <c r="BG318">
        <f t="shared" si="240"/>
        <v>-168.524498584376</v>
      </c>
      <c r="BH318">
        <f t="shared" si="255"/>
        <v>11.475501415623995</v>
      </c>
      <c r="BI318">
        <f t="shared" si="256"/>
        <v>11.475501415623995</v>
      </c>
      <c r="BJ318">
        <f t="shared" si="241"/>
        <v>0</v>
      </c>
      <c r="BK318">
        <f t="shared" si="257"/>
        <v>0</v>
      </c>
      <c r="BM318">
        <f t="shared" si="258"/>
        <v>-41.741299815678886</v>
      </c>
      <c r="BN318">
        <f t="shared" si="242"/>
        <v>-161.1490120544938</v>
      </c>
      <c r="BQ318" s="56">
        <f t="shared" si="259"/>
        <v>21.284454145181023</v>
      </c>
      <c r="BR318" s="59"/>
      <c r="BS318" s="59"/>
      <c r="BT318" s="59">
        <v>120226.443</v>
      </c>
      <c r="BU318" s="59">
        <v>7.9446199999999996</v>
      </c>
      <c r="BV318" s="59">
        <v>-129.863</v>
      </c>
      <c r="BY318" s="59"/>
      <c r="BZ318" s="59"/>
      <c r="CA318" s="59"/>
      <c r="CC318" s="59"/>
    </row>
    <row r="319" spans="1:81" x14ac:dyDescent="0.2">
      <c r="A319">
        <f t="shared" si="263"/>
        <v>525000</v>
      </c>
      <c r="B319">
        <f t="shared" si="243"/>
        <v>525</v>
      </c>
      <c r="C319">
        <f t="shared" si="212"/>
        <v>1.053001608865503</v>
      </c>
      <c r="D319">
        <f t="shared" si="213"/>
        <v>0.31862782284680674</v>
      </c>
      <c r="F319">
        <f t="shared" si="214"/>
        <v>5.087489204429462E-4</v>
      </c>
      <c r="G319">
        <f t="shared" si="215"/>
        <v>1.3093900783210051E-2</v>
      </c>
      <c r="H319">
        <f t="shared" si="216"/>
        <v>-3.1284987492167899</v>
      </c>
      <c r="J319">
        <f t="shared" si="217"/>
        <v>15</v>
      </c>
      <c r="M319">
        <f t="shared" si="218"/>
        <v>1.519560265174903E-3</v>
      </c>
      <c r="N319">
        <f t="shared" si="219"/>
        <v>-1.5707963250000001</v>
      </c>
      <c r="O319">
        <f t="shared" si="220"/>
        <v>59.384521384415805</v>
      </c>
      <c r="P319">
        <f t="shared" si="221"/>
        <v>1.5539561259539354</v>
      </c>
      <c r="Q319">
        <f t="shared" si="222"/>
        <v>62.483536182031429</v>
      </c>
      <c r="R319">
        <f t="shared" si="223"/>
        <v>1.5547914276617572</v>
      </c>
      <c r="S319">
        <f t="shared" si="224"/>
        <v>0.99157589494058251</v>
      </c>
      <c r="T319">
        <f t="shared" si="225"/>
        <v>-0.12989194965369272</v>
      </c>
      <c r="U319">
        <f t="shared" si="226"/>
        <v>0.30477060024372121</v>
      </c>
      <c r="V319">
        <f t="shared" si="227"/>
        <v>-1.2610987652067283</v>
      </c>
      <c r="X319">
        <f t="shared" si="244"/>
        <v>-37.270407706442924</v>
      </c>
      <c r="Y319">
        <f t="shared" si="228"/>
        <v>-152.57352803860425</v>
      </c>
      <c r="Z319">
        <f t="shared" si="245"/>
        <v>27.426471961395748</v>
      </c>
      <c r="AC319">
        <v>1</v>
      </c>
      <c r="AD319">
        <f t="shared" si="229"/>
        <v>59.376101085000009</v>
      </c>
      <c r="AE319">
        <f t="shared" si="230"/>
        <v>-0.19586229889200774</v>
      </c>
      <c r="AF319">
        <f t="shared" si="231"/>
        <v>6.2674773367500006E-2</v>
      </c>
      <c r="AG319">
        <f t="shared" si="246"/>
        <v>83.365037347438943</v>
      </c>
      <c r="AH319">
        <f t="shared" si="247"/>
        <v>-276.47595565256472</v>
      </c>
      <c r="AJ319">
        <f t="shared" si="232"/>
        <v>10500</v>
      </c>
      <c r="AK319">
        <f t="shared" si="233"/>
        <v>1371.5879350635003</v>
      </c>
      <c r="AL319">
        <v>1</v>
      </c>
      <c r="AM319">
        <f t="shared" si="234"/>
        <v>62.475533561637008</v>
      </c>
      <c r="AN319">
        <f t="shared" si="248"/>
        <v>24.637794665563401</v>
      </c>
      <c r="AO319">
        <f t="shared" si="249"/>
        <v>-167.67143244962719</v>
      </c>
      <c r="AQ319">
        <f t="shared" si="235"/>
        <v>9.0702865575632129E-3</v>
      </c>
      <c r="AR319">
        <f t="shared" si="236"/>
        <v>-9.5238008854413732</v>
      </c>
      <c r="AT319">
        <f t="shared" si="261"/>
        <v>-2632.3458064695224</v>
      </c>
      <c r="AU319">
        <f t="shared" si="262"/>
        <v>-796.45973264843713</v>
      </c>
      <c r="AV319">
        <f t="shared" si="250"/>
        <v>-2.8477829121781508</v>
      </c>
      <c r="AW319">
        <f t="shared" si="251"/>
        <v>-1510.7946273810633</v>
      </c>
      <c r="AX319">
        <f t="shared" si="252"/>
        <v>-690.70851322004023</v>
      </c>
      <c r="AY319">
        <f t="shared" si="260"/>
        <v>-2.7127820287345616</v>
      </c>
      <c r="BA319">
        <f t="shared" si="237"/>
        <v>1.6555514198613057</v>
      </c>
      <c r="BB319">
        <f t="shared" si="253"/>
        <v>4.3788534814684938</v>
      </c>
      <c r="BC319">
        <f t="shared" si="254"/>
        <v>-0.13500088344358918</v>
      </c>
      <c r="BD319">
        <f t="shared" si="238"/>
        <v>-187.73498086069372</v>
      </c>
      <c r="BF319">
        <f t="shared" si="239"/>
        <v>-37.52067062928986</v>
      </c>
      <c r="BG319">
        <f t="shared" si="240"/>
        <v>-168.72872610217081</v>
      </c>
      <c r="BH319">
        <f t="shared" si="255"/>
        <v>11.27127389782919</v>
      </c>
      <c r="BI319">
        <f t="shared" si="256"/>
        <v>11.27127389782919</v>
      </c>
      <c r="BJ319">
        <f t="shared" si="241"/>
        <v>0</v>
      </c>
      <c r="BK319">
        <f t="shared" si="257"/>
        <v>0</v>
      </c>
      <c r="BM319">
        <f t="shared" si="258"/>
        <v>-41.899524110758357</v>
      </c>
      <c r="BN319">
        <f t="shared" si="242"/>
        <v>-160.99374524147709</v>
      </c>
      <c r="BQ319" s="56">
        <f t="shared" si="259"/>
        <v>21.280814281753631</v>
      </c>
      <c r="BR319" s="59"/>
      <c r="BS319" s="59"/>
      <c r="BT319" s="59">
        <v>123026.87699999999</v>
      </c>
      <c r="BU319" s="59">
        <v>8.1865900000000007</v>
      </c>
      <c r="BV319" s="59">
        <v>-130.31299999999999</v>
      </c>
      <c r="BY319" s="59"/>
      <c r="BZ319" s="59"/>
      <c r="CA319" s="59"/>
      <c r="CC319" s="59"/>
    </row>
    <row r="320" spans="1:81" x14ac:dyDescent="0.2">
      <c r="A320">
        <f t="shared" si="263"/>
        <v>530000</v>
      </c>
      <c r="B320">
        <f t="shared" si="243"/>
        <v>530</v>
      </c>
      <c r="C320">
        <f t="shared" si="212"/>
        <v>1.053989978508908</v>
      </c>
      <c r="D320">
        <f t="shared" si="213"/>
        <v>0.32145846477893431</v>
      </c>
      <c r="F320">
        <f t="shared" si="214"/>
        <v>4.9919110211968148E-4</v>
      </c>
      <c r="G320">
        <f t="shared" si="215"/>
        <v>1.2970260947171049E-2</v>
      </c>
      <c r="H320">
        <f t="shared" si="216"/>
        <v>-3.1286223890528291</v>
      </c>
      <c r="J320">
        <f t="shared" si="217"/>
        <v>15</v>
      </c>
      <c r="M320">
        <f t="shared" si="218"/>
        <v>1.5052247909751397E-3</v>
      </c>
      <c r="N320">
        <f t="shared" si="219"/>
        <v>-1.5707963250000001</v>
      </c>
      <c r="O320">
        <f t="shared" si="220"/>
        <v>59.949928635733571</v>
      </c>
      <c r="P320">
        <f t="shared" si="221"/>
        <v>1.5541149661622999</v>
      </c>
      <c r="Q320">
        <f t="shared" si="222"/>
        <v>63.078465776684894</v>
      </c>
      <c r="R320">
        <f t="shared" si="223"/>
        <v>1.5549423918565024</v>
      </c>
      <c r="S320">
        <f t="shared" si="224"/>
        <v>0.99141674155268422</v>
      </c>
      <c r="T320">
        <f t="shared" si="225"/>
        <v>-0.13111495223964367</v>
      </c>
      <c r="U320">
        <f t="shared" si="226"/>
        <v>0.30215904631160234</v>
      </c>
      <c r="V320">
        <f t="shared" si="227"/>
        <v>-1.2638395692831499</v>
      </c>
      <c r="X320">
        <f t="shared" si="244"/>
        <v>-37.420848393969337</v>
      </c>
      <c r="Y320">
        <f t="shared" si="228"/>
        <v>-152.62778715121436</v>
      </c>
      <c r="Z320">
        <f t="shared" si="245"/>
        <v>27.372212848785637</v>
      </c>
      <c r="AC320">
        <v>1</v>
      </c>
      <c r="AD320">
        <f t="shared" si="229"/>
        <v>59.941587762000012</v>
      </c>
      <c r="AE320">
        <f t="shared" si="230"/>
        <v>-0.19961077463497495</v>
      </c>
      <c r="AF320">
        <f t="shared" si="231"/>
        <v>6.3271675971000002E-2</v>
      </c>
      <c r="AG320">
        <f t="shared" si="246"/>
        <v>81.942462390059774</v>
      </c>
      <c r="AH320">
        <f t="shared" si="247"/>
        <v>-274.31861297829965</v>
      </c>
      <c r="AJ320">
        <f t="shared" si="232"/>
        <v>10500</v>
      </c>
      <c r="AK320">
        <f t="shared" si="233"/>
        <v>1384.6506773022002</v>
      </c>
      <c r="AL320">
        <v>1</v>
      </c>
      <c r="AM320">
        <f t="shared" si="234"/>
        <v>63.070538643176405</v>
      </c>
      <c r="AN320">
        <f t="shared" si="248"/>
        <v>24.587408575078502</v>
      </c>
      <c r="AO320">
        <f t="shared" si="249"/>
        <v>-166.09042536785523</v>
      </c>
      <c r="AQ320">
        <f t="shared" si="235"/>
        <v>8.8999564792128158E-3</v>
      </c>
      <c r="AR320">
        <f t="shared" si="236"/>
        <v>-9.4339538679655863</v>
      </c>
      <c r="AT320">
        <f t="shared" si="261"/>
        <v>-2587.1798556125136</v>
      </c>
      <c r="AU320">
        <f t="shared" si="262"/>
        <v>-775.48283373227389</v>
      </c>
      <c r="AV320">
        <f t="shared" si="250"/>
        <v>-2.8503738607641012</v>
      </c>
      <c r="AW320">
        <f t="shared" si="251"/>
        <v>-1481.914184156461</v>
      </c>
      <c r="AX320">
        <f t="shared" si="252"/>
        <v>-684.02103525920518</v>
      </c>
      <c r="AY320">
        <f t="shared" si="260"/>
        <v>-2.7091511430253394</v>
      </c>
      <c r="BA320">
        <f t="shared" si="237"/>
        <v>1.6547998741721404</v>
      </c>
      <c r="BB320">
        <f t="shared" si="253"/>
        <v>4.3749095840108598</v>
      </c>
      <c r="BC320">
        <f t="shared" si="254"/>
        <v>-0.14122271773876172</v>
      </c>
      <c r="BD320">
        <f t="shared" si="238"/>
        <v>-188.09146570704419</v>
      </c>
      <c r="BF320">
        <f t="shared" si="239"/>
        <v>-37.681198891280147</v>
      </c>
      <c r="BG320">
        <f t="shared" si="240"/>
        <v>-168.93011115310514</v>
      </c>
      <c r="BH320">
        <f t="shared" si="255"/>
        <v>11.069888846894855</v>
      </c>
      <c r="BI320">
        <f t="shared" si="256"/>
        <v>11.069888846894855</v>
      </c>
      <c r="BJ320">
        <f t="shared" si="241"/>
        <v>0</v>
      </c>
      <c r="BK320">
        <f t="shared" si="257"/>
        <v>0</v>
      </c>
      <c r="BM320">
        <f t="shared" si="258"/>
        <v>-42.056108475291005</v>
      </c>
      <c r="BN320">
        <f t="shared" si="242"/>
        <v>-160.83864544606095</v>
      </c>
      <c r="BQ320" s="56">
        <f t="shared" si="259"/>
        <v>21.276870384295997</v>
      </c>
      <c r="BR320" s="59"/>
      <c r="BS320" s="59"/>
      <c r="BT320" s="59">
        <v>125892.541</v>
      </c>
      <c r="BU320" s="59">
        <v>8.4445800000000002</v>
      </c>
      <c r="BV320" s="59">
        <v>-130.77099999999999</v>
      </c>
      <c r="BY320" s="59"/>
      <c r="BZ320" s="59"/>
      <c r="CA320" s="59"/>
      <c r="CC320" s="59"/>
    </row>
    <row r="321" spans="1:81" x14ac:dyDescent="0.2">
      <c r="A321">
        <f t="shared" si="263"/>
        <v>535000</v>
      </c>
      <c r="B321">
        <f t="shared" si="243"/>
        <v>535</v>
      </c>
      <c r="C321">
        <f t="shared" si="212"/>
        <v>1.054986777419431</v>
      </c>
      <c r="D321">
        <f t="shared" si="213"/>
        <v>0.32428378027812704</v>
      </c>
      <c r="F321">
        <f t="shared" si="214"/>
        <v>4.8990015483538576E-4</v>
      </c>
      <c r="G321">
        <f t="shared" si="215"/>
        <v>1.2848935246999397E-2</v>
      </c>
      <c r="H321">
        <f t="shared" si="216"/>
        <v>-3.1287437147530008</v>
      </c>
      <c r="J321">
        <f t="shared" si="217"/>
        <v>15</v>
      </c>
      <c r="M321">
        <f t="shared" si="218"/>
        <v>1.4911572695641571E-3</v>
      </c>
      <c r="N321">
        <f t="shared" si="219"/>
        <v>-1.5707963250000001</v>
      </c>
      <c r="O321">
        <f t="shared" si="220"/>
        <v>60.515337371336585</v>
      </c>
      <c r="P321">
        <f t="shared" si="221"/>
        <v>1.5542708382132309</v>
      </c>
      <c r="Q321">
        <f t="shared" si="222"/>
        <v>63.673396782044691</v>
      </c>
      <c r="R321">
        <f t="shared" si="223"/>
        <v>1.5550905349931963</v>
      </c>
      <c r="S321">
        <f t="shared" si="224"/>
        <v>0.99125615730475092</v>
      </c>
      <c r="T321">
        <f t="shared" si="225"/>
        <v>-0.13233756046329487</v>
      </c>
      <c r="U321">
        <f t="shared" si="226"/>
        <v>0.29958967502796641</v>
      </c>
      <c r="V321">
        <f t="shared" si="227"/>
        <v>-1.2665337811502353</v>
      </c>
      <c r="X321">
        <f t="shared" si="244"/>
        <v>-37.569889603637975</v>
      </c>
      <c r="Y321">
        <f t="shared" si="228"/>
        <v>-152.67985842109599</v>
      </c>
      <c r="Z321">
        <f t="shared" si="245"/>
        <v>27.320141578904014</v>
      </c>
      <c r="AC321">
        <v>1</v>
      </c>
      <c r="AD321">
        <f t="shared" si="229"/>
        <v>60.507074439000007</v>
      </c>
      <c r="AE321">
        <f t="shared" si="230"/>
        <v>-0.20339478095370492</v>
      </c>
      <c r="AF321">
        <f t="shared" si="231"/>
        <v>6.3868578574499998E-2</v>
      </c>
      <c r="AG321">
        <f t="shared" si="246"/>
        <v>80.554812676480452</v>
      </c>
      <c r="AH321">
        <f t="shared" si="247"/>
        <v>-272.19062749018707</v>
      </c>
      <c r="AJ321">
        <f t="shared" si="232"/>
        <v>10500</v>
      </c>
      <c r="AK321">
        <f t="shared" si="233"/>
        <v>1397.7134195409001</v>
      </c>
      <c r="AL321">
        <v>1</v>
      </c>
      <c r="AM321">
        <f t="shared" si="234"/>
        <v>63.665543724715803</v>
      </c>
      <c r="AN321">
        <f t="shared" si="248"/>
        <v>24.538428102304586</v>
      </c>
      <c r="AO321">
        <f t="shared" si="249"/>
        <v>-164.53894774216749</v>
      </c>
      <c r="AQ321">
        <f t="shared" si="235"/>
        <v>8.7343796537866589E-3</v>
      </c>
      <c r="AR321">
        <f t="shared" si="236"/>
        <v>-9.3457862295517256</v>
      </c>
      <c r="AT321">
        <f t="shared" si="261"/>
        <v>-2543.1318218939778</v>
      </c>
      <c r="AU321">
        <f t="shared" si="262"/>
        <v>-755.22547531467148</v>
      </c>
      <c r="AV321">
        <f t="shared" si="250"/>
        <v>-2.8529210173596442</v>
      </c>
      <c r="AW321">
        <f t="shared" si="251"/>
        <v>-1453.842898784422</v>
      </c>
      <c r="AX321">
        <f t="shared" si="252"/>
        <v>-677.46439145120485</v>
      </c>
      <c r="AY321">
        <f t="shared" si="260"/>
        <v>-2.7055279976424784</v>
      </c>
      <c r="BA321">
        <f t="shared" si="237"/>
        <v>1.6539923634859135</v>
      </c>
      <c r="BB321">
        <f t="shared" si="253"/>
        <v>4.3706700015060722</v>
      </c>
      <c r="BC321">
        <f t="shared" si="254"/>
        <v>-0.14739301971716579</v>
      </c>
      <c r="BD321">
        <f t="shared" si="238"/>
        <v>-188.44499796913195</v>
      </c>
      <c r="BF321">
        <f t="shared" si="239"/>
        <v>-37.840412953483799</v>
      </c>
      <c r="BG321">
        <f t="shared" si="240"/>
        <v>-169.12871621168551</v>
      </c>
      <c r="BH321">
        <f t="shared" si="255"/>
        <v>10.871283788314486</v>
      </c>
      <c r="BI321">
        <f t="shared" si="256"/>
        <v>10.871283788314486</v>
      </c>
      <c r="BJ321">
        <f t="shared" si="241"/>
        <v>0</v>
      </c>
      <c r="BK321">
        <f t="shared" si="257"/>
        <v>0</v>
      </c>
      <c r="BM321">
        <f t="shared" si="258"/>
        <v>-42.21108295498987</v>
      </c>
      <c r="BN321">
        <f t="shared" si="242"/>
        <v>-160.6837182425536</v>
      </c>
      <c r="BQ321" s="56">
        <f t="shared" si="259"/>
        <v>21.272630801791209</v>
      </c>
      <c r="BR321" s="59"/>
      <c r="BS321" s="59"/>
      <c r="BT321" s="59">
        <v>128824.955</v>
      </c>
      <c r="BU321" s="59">
        <v>8.6780500000000007</v>
      </c>
      <c r="BV321" s="59">
        <v>-131.42599999999999</v>
      </c>
      <c r="BY321" s="59"/>
      <c r="BZ321" s="59"/>
      <c r="CA321" s="59"/>
      <c r="CC321" s="59"/>
    </row>
    <row r="322" spans="1:81" x14ac:dyDescent="0.2">
      <c r="A322">
        <f t="shared" si="263"/>
        <v>540000</v>
      </c>
      <c r="B322">
        <f t="shared" si="243"/>
        <v>540</v>
      </c>
      <c r="C322">
        <f t="shared" si="212"/>
        <v>1.0559919817267651</v>
      </c>
      <c r="D322">
        <f t="shared" si="213"/>
        <v>0.32710373938652676</v>
      </c>
      <c r="F322">
        <f t="shared" si="214"/>
        <v>4.8086623360611632E-4</v>
      </c>
      <c r="G322">
        <f t="shared" si="215"/>
        <v>1.2729859287449033E-2</v>
      </c>
      <c r="H322">
        <f t="shared" si="216"/>
        <v>-3.1288627907125512</v>
      </c>
      <c r="J322">
        <f t="shared" si="217"/>
        <v>15</v>
      </c>
      <c r="M322">
        <f t="shared" si="218"/>
        <v>1.4773502578089334E-3</v>
      </c>
      <c r="N322">
        <f t="shared" si="219"/>
        <v>-1.5707963250000001</v>
      </c>
      <c r="O322">
        <f t="shared" si="220"/>
        <v>61.080747550005924</v>
      </c>
      <c r="P322">
        <f t="shared" si="221"/>
        <v>1.5544238245256625</v>
      </c>
      <c r="Q322">
        <f t="shared" si="222"/>
        <v>64.268329158934151</v>
      </c>
      <c r="R322">
        <f t="shared" si="223"/>
        <v>1.5552359354089067</v>
      </c>
      <c r="S322">
        <f t="shared" si="224"/>
        <v>0.99109414433182197</v>
      </c>
      <c r="T322">
        <f t="shared" si="225"/>
        <v>-0.133559770862101</v>
      </c>
      <c r="U322">
        <f t="shared" si="226"/>
        <v>0.29706152989897627</v>
      </c>
      <c r="V322">
        <f t="shared" si="227"/>
        <v>-1.2691825407239894</v>
      </c>
      <c r="X322">
        <f t="shared" si="244"/>
        <v>-37.717553790841848</v>
      </c>
      <c r="Y322">
        <f t="shared" si="228"/>
        <v>-152.7298031576303</v>
      </c>
      <c r="Z322">
        <f t="shared" si="245"/>
        <v>27.2701968423697</v>
      </c>
      <c r="AC322">
        <v>1</v>
      </c>
      <c r="AD322">
        <f t="shared" si="229"/>
        <v>61.07256111600001</v>
      </c>
      <c r="AE322">
        <f t="shared" si="230"/>
        <v>-0.20721431784819758</v>
      </c>
      <c r="AF322">
        <f t="shared" si="231"/>
        <v>6.4465481177999995E-2</v>
      </c>
      <c r="AG322">
        <f t="shared" si="246"/>
        <v>79.20099452874841</v>
      </c>
      <c r="AH322">
        <f t="shared" si="247"/>
        <v>-270.09152395988701</v>
      </c>
      <c r="AJ322">
        <f t="shared" si="232"/>
        <v>10500</v>
      </c>
      <c r="AK322">
        <f t="shared" si="233"/>
        <v>1410.7761617796002</v>
      </c>
      <c r="AL322">
        <v>1</v>
      </c>
      <c r="AM322">
        <f t="shared" si="234"/>
        <v>64.260548806255215</v>
      </c>
      <c r="AN322">
        <f t="shared" si="248"/>
        <v>24.49080145021026</v>
      </c>
      <c r="AO322">
        <f t="shared" si="249"/>
        <v>-163.01618011594215</v>
      </c>
      <c r="AQ322">
        <f t="shared" si="235"/>
        <v>8.5733808527256056E-3</v>
      </c>
      <c r="AR322">
        <f t="shared" si="236"/>
        <v>-9.2592513209436547</v>
      </c>
      <c r="AT322">
        <f t="shared" si="261"/>
        <v>-2500.166279711259</v>
      </c>
      <c r="AU322">
        <f t="shared" si="262"/>
        <v>-735.65751071036607</v>
      </c>
      <c r="AV322">
        <f t="shared" si="250"/>
        <v>-2.855425444126805</v>
      </c>
      <c r="AW322">
        <f t="shared" si="251"/>
        <v>-1426.550812469532</v>
      </c>
      <c r="AX322">
        <f t="shared" si="252"/>
        <v>-671.03469029002099</v>
      </c>
      <c r="AY322">
        <f t="shared" si="260"/>
        <v>-2.7019126914057208</v>
      </c>
      <c r="BA322">
        <f t="shared" si="237"/>
        <v>1.6531304989284115</v>
      </c>
      <c r="BB322">
        <f t="shared" si="253"/>
        <v>4.3661427668611319</v>
      </c>
      <c r="BC322">
        <f t="shared" si="254"/>
        <v>-0.15351275272108422</v>
      </c>
      <c r="BD322">
        <f t="shared" si="238"/>
        <v>-188.79563284240405</v>
      </c>
      <c r="BF322">
        <f t="shared" si="239"/>
        <v>-37.998334000500442</v>
      </c>
      <c r="BG322">
        <f t="shared" si="240"/>
        <v>-169.32460187939373</v>
      </c>
      <c r="BH322">
        <f t="shared" si="255"/>
        <v>10.675398120606275</v>
      </c>
      <c r="BI322">
        <f t="shared" si="256"/>
        <v>10.675398120606275</v>
      </c>
      <c r="BJ322">
        <f t="shared" si="241"/>
        <v>0</v>
      </c>
      <c r="BK322">
        <f t="shared" si="257"/>
        <v>0</v>
      </c>
      <c r="BM322">
        <f t="shared" si="258"/>
        <v>-42.364476767361566</v>
      </c>
      <c r="BN322">
        <f t="shared" si="242"/>
        <v>-160.52896903698968</v>
      </c>
      <c r="BQ322" s="56">
        <f t="shared" si="259"/>
        <v>21.268103567146266</v>
      </c>
      <c r="BR322" s="59"/>
      <c r="BS322" s="59"/>
      <c r="BT322" s="59">
        <v>131825.674</v>
      </c>
      <c r="BU322" s="59">
        <v>8.8889499999999995</v>
      </c>
      <c r="BV322" s="59">
        <v>-132.06399999999999</v>
      </c>
      <c r="BY322" s="59"/>
      <c r="BZ322" s="59"/>
      <c r="CA322" s="59"/>
      <c r="CC322" s="59"/>
    </row>
    <row r="323" spans="1:81" x14ac:dyDescent="0.2">
      <c r="A323">
        <f t="shared" si="263"/>
        <v>545000</v>
      </c>
      <c r="B323">
        <f t="shared" si="243"/>
        <v>545</v>
      </c>
      <c r="C323">
        <f t="shared" si="212"/>
        <v>1.0570055674505043</v>
      </c>
      <c r="D323">
        <f t="shared" si="213"/>
        <v>0.32991831260051063</v>
      </c>
      <c r="F323">
        <f t="shared" si="214"/>
        <v>4.7207994333768615E-4</v>
      </c>
      <c r="G323">
        <f t="shared" si="215"/>
        <v>1.2612971041549776E-2</v>
      </c>
      <c r="H323">
        <f t="shared" si="216"/>
        <v>-3.1289796789584505</v>
      </c>
      <c r="J323">
        <f t="shared" si="217"/>
        <v>15</v>
      </c>
      <c r="M323">
        <f t="shared" si="218"/>
        <v>1.4637965857189432E-3</v>
      </c>
      <c r="N323">
        <f t="shared" si="219"/>
        <v>-1.5707963250000001</v>
      </c>
      <c r="O323">
        <f t="shared" si="220"/>
        <v>61.646159132034754</v>
      </c>
      <c r="P323">
        <f t="shared" si="221"/>
        <v>1.5545740044953318</v>
      </c>
      <c r="Q323">
        <f t="shared" si="222"/>
        <v>64.863262869613877</v>
      </c>
      <c r="R323">
        <f t="shared" si="223"/>
        <v>1.5553786685671083</v>
      </c>
      <c r="S323">
        <f t="shared" si="224"/>
        <v>0.99093070478604983</v>
      </c>
      <c r="T323">
        <f t="shared" si="225"/>
        <v>-0.13478157998052395</v>
      </c>
      <c r="U323">
        <f t="shared" si="226"/>
        <v>0.29457368108951598</v>
      </c>
      <c r="V323">
        <f t="shared" si="227"/>
        <v>-1.271786952333279</v>
      </c>
      <c r="X323">
        <f t="shared" si="244"/>
        <v>-37.863862894796021</v>
      </c>
      <c r="Y323">
        <f t="shared" si="228"/>
        <v>-152.77768080775033</v>
      </c>
      <c r="Z323">
        <f t="shared" si="245"/>
        <v>27.222319192249671</v>
      </c>
      <c r="AC323">
        <v>1</v>
      </c>
      <c r="AD323">
        <f t="shared" si="229"/>
        <v>61.638047793000005</v>
      </c>
      <c r="AE323">
        <f t="shared" si="230"/>
        <v>-0.21106938531845298</v>
      </c>
      <c r="AF323">
        <f t="shared" si="231"/>
        <v>6.5062383781500005E-2</v>
      </c>
      <c r="AG323">
        <f t="shared" si="246"/>
        <v>77.879955023167341</v>
      </c>
      <c r="AH323">
        <f t="shared" si="247"/>
        <v>-268.0208320360847</v>
      </c>
      <c r="AJ323">
        <f t="shared" si="232"/>
        <v>10500</v>
      </c>
      <c r="AK323">
        <f t="shared" si="233"/>
        <v>1423.8389040183001</v>
      </c>
      <c r="AL323">
        <v>1</v>
      </c>
      <c r="AM323">
        <f t="shared" si="234"/>
        <v>64.855553887794599</v>
      </c>
      <c r="AN323">
        <f t="shared" si="248"/>
        <v>24.444479185684138</v>
      </c>
      <c r="AO323">
        <f t="shared" si="249"/>
        <v>-161.52133306791092</v>
      </c>
      <c r="AQ323">
        <f t="shared" si="235"/>
        <v>8.4167928484194521E-3</v>
      </c>
      <c r="AR323">
        <f t="shared" si="236"/>
        <v>-9.1743042047772025</v>
      </c>
      <c r="AT323">
        <f t="shared" si="261"/>
        <v>-2458.2491468680623</v>
      </c>
      <c r="AU323">
        <f t="shared" si="262"/>
        <v>-716.75027465921232</v>
      </c>
      <c r="AV323">
        <f t="shared" si="250"/>
        <v>-2.8578881704924743</v>
      </c>
      <c r="AW323">
        <f t="shared" si="251"/>
        <v>-1400.0093403701558</v>
      </c>
      <c r="AX323">
        <f t="shared" si="252"/>
        <v>-664.72819678416295</v>
      </c>
      <c r="AY323">
        <f t="shared" si="260"/>
        <v>-2.6983053190914394</v>
      </c>
      <c r="BA323">
        <f t="shared" si="237"/>
        <v>1.6522158366851116</v>
      </c>
      <c r="BB323">
        <f t="shared" si="253"/>
        <v>4.361335612210743</v>
      </c>
      <c r="BC323">
        <f t="shared" si="254"/>
        <v>-0.1595828514010349</v>
      </c>
      <c r="BD323">
        <f t="shared" si="238"/>
        <v>-189.14342387839056</v>
      </c>
      <c r="BF323">
        <f t="shared" si="239"/>
        <v>-38.15498272008638</v>
      </c>
      <c r="BG323">
        <f t="shared" si="240"/>
        <v>-169.51782695207649</v>
      </c>
      <c r="BH323">
        <f t="shared" si="255"/>
        <v>10.48217304792351</v>
      </c>
      <c r="BI323">
        <f t="shared" si="256"/>
        <v>10.48217304792351</v>
      </c>
      <c r="BJ323">
        <f t="shared" si="241"/>
        <v>0</v>
      </c>
      <c r="BK323">
        <f t="shared" si="257"/>
        <v>0</v>
      </c>
      <c r="BM323">
        <f t="shared" si="258"/>
        <v>-42.516318332297118</v>
      </c>
      <c r="BN323">
        <f t="shared" si="242"/>
        <v>-160.37440307368595</v>
      </c>
      <c r="BQ323" s="56">
        <f t="shared" si="259"/>
        <v>21.263296412495876</v>
      </c>
      <c r="BR323" s="59"/>
      <c r="BS323" s="59"/>
      <c r="BT323" s="59">
        <v>134896.288</v>
      </c>
      <c r="BU323" s="59">
        <v>9.0986999999999991</v>
      </c>
      <c r="BV323" s="59">
        <v>-132.62899999999999</v>
      </c>
      <c r="BY323" s="59"/>
      <c r="BZ323" s="59"/>
      <c r="CA323" s="59"/>
      <c r="CC323" s="59"/>
    </row>
    <row r="324" spans="1:81" x14ac:dyDescent="0.2">
      <c r="A324">
        <f t="shared" si="263"/>
        <v>550000</v>
      </c>
      <c r="B324">
        <f t="shared" si="243"/>
        <v>550</v>
      </c>
      <c r="C324">
        <f t="shared" si="212"/>
        <v>1.058027510502568</v>
      </c>
      <c r="D324">
        <f t="shared" si="213"/>
        <v>0.33272747087036825</v>
      </c>
      <c r="F324">
        <f t="shared" si="214"/>
        <v>4.6353231437556178E-4</v>
      </c>
      <c r="G324">
        <f t="shared" si="215"/>
        <v>1.2498210742681209E-2</v>
      </c>
      <c r="H324">
        <f t="shared" si="216"/>
        <v>-3.1290944392573188</v>
      </c>
      <c r="J324">
        <f t="shared" si="217"/>
        <v>15</v>
      </c>
      <c r="M324">
        <f t="shared" si="218"/>
        <v>1.4504893440305891E-3</v>
      </c>
      <c r="N324">
        <f t="shared" si="219"/>
        <v>-1.5707963250000001</v>
      </c>
      <c r="O324">
        <f t="shared" si="220"/>
        <v>62.211572079159659</v>
      </c>
      <c r="P324">
        <f t="shared" si="221"/>
        <v>1.5547214546321251</v>
      </c>
      <c r="Q324">
        <f t="shared" si="222"/>
        <v>65.45819787771633</v>
      </c>
      <c r="R324">
        <f t="shared" si="223"/>
        <v>1.5555188071882355</v>
      </c>
      <c r="S324">
        <f t="shared" si="224"/>
        <v>0.99076584083662289</v>
      </c>
      <c r="T324">
        <f t="shared" si="225"/>
        <v>-0.13600298437008654</v>
      </c>
      <c r="U324">
        <f t="shared" si="226"/>
        <v>0.29212522459467832</v>
      </c>
      <c r="V324">
        <f t="shared" si="227"/>
        <v>-1.2743480860425556</v>
      </c>
      <c r="X324">
        <f t="shared" si="244"/>
        <v>-38.008838353952619</v>
      </c>
      <c r="Y324">
        <f t="shared" si="228"/>
        <v>-152.82354902258308</v>
      </c>
      <c r="Z324">
        <f t="shared" si="245"/>
        <v>27.17645097741692</v>
      </c>
      <c r="AC324">
        <v>1</v>
      </c>
      <c r="AD324">
        <f t="shared" si="229"/>
        <v>62.203534470000008</v>
      </c>
      <c r="AE324">
        <f t="shared" si="230"/>
        <v>-0.21495998336447106</v>
      </c>
      <c r="AF324">
        <f t="shared" si="231"/>
        <v>6.5659286385000001E-2</v>
      </c>
      <c r="AG324">
        <f t="shared" si="246"/>
        <v>76.590680270402089</v>
      </c>
      <c r="AH324">
        <f t="shared" si="247"/>
        <v>-265.97808654814787</v>
      </c>
      <c r="AJ324">
        <f t="shared" si="232"/>
        <v>10500</v>
      </c>
      <c r="AK324">
        <f t="shared" si="233"/>
        <v>1436.9016462570003</v>
      </c>
      <c r="AL324">
        <v>1</v>
      </c>
      <c r="AM324">
        <f t="shared" si="234"/>
        <v>65.450558969334011</v>
      </c>
      <c r="AN324">
        <f t="shared" si="248"/>
        <v>24.399414111254696</v>
      </c>
      <c r="AO324">
        <f t="shared" si="249"/>
        <v>-160.05364584887576</v>
      </c>
      <c r="AQ324">
        <f t="shared" si="235"/>
        <v>8.264455979788447E-3</v>
      </c>
      <c r="AR324">
        <f t="shared" si="236"/>
        <v>-9.0909015777672906</v>
      </c>
      <c r="AT324">
        <f t="shared" si="261"/>
        <v>-2417.3476263465254</v>
      </c>
      <c r="AU324">
        <f t="shared" si="262"/>
        <v>-698.47650030033401</v>
      </c>
      <c r="AV324">
        <f t="shared" si="250"/>
        <v>-2.860310194341571</v>
      </c>
      <c r="AW324">
        <f t="shared" si="251"/>
        <v>-1374.1911966809193</v>
      </c>
      <c r="AX324">
        <f t="shared" si="252"/>
        <v>-658.54132449491453</v>
      </c>
      <c r="AY324">
        <f t="shared" si="260"/>
        <v>-2.6947059716042006</v>
      </c>
      <c r="BA324">
        <f t="shared" si="237"/>
        <v>1.6512498804062479</v>
      </c>
      <c r="BB324">
        <f t="shared" si="253"/>
        <v>4.3562559833657257</v>
      </c>
      <c r="BC324">
        <f t="shared" si="254"/>
        <v>-0.16560422273737041</v>
      </c>
      <c r="BD324">
        <f t="shared" si="238"/>
        <v>-189.48842304323784</v>
      </c>
      <c r="BF324">
        <f t="shared" si="239"/>
        <v>-38.310379317894785</v>
      </c>
      <c r="BG324">
        <f t="shared" si="240"/>
        <v>-169.70844848468107</v>
      </c>
      <c r="BH324">
        <f t="shared" si="255"/>
        <v>10.291551515318929</v>
      </c>
      <c r="BI324">
        <f t="shared" si="256"/>
        <v>10.291551515318929</v>
      </c>
      <c r="BJ324">
        <f t="shared" si="241"/>
        <v>0</v>
      </c>
      <c r="BK324">
        <f t="shared" si="257"/>
        <v>0</v>
      </c>
      <c r="BM324">
        <f t="shared" si="258"/>
        <v>-42.666635301260513</v>
      </c>
      <c r="BN324">
        <f t="shared" si="242"/>
        <v>-160.22002544144323</v>
      </c>
      <c r="BQ324" s="56">
        <f t="shared" si="259"/>
        <v>21.258216783650859</v>
      </c>
      <c r="BR324" s="59"/>
      <c r="BS324" s="59"/>
      <c r="BT324" s="59">
        <v>138038.42600000001</v>
      </c>
      <c r="BU324" s="59">
        <v>9.3196600000000007</v>
      </c>
      <c r="BV324" s="59">
        <v>-133.267</v>
      </c>
      <c r="BY324" s="59"/>
      <c r="BZ324" s="59"/>
      <c r="CA324" s="59"/>
      <c r="CC324" s="59"/>
    </row>
    <row r="325" spans="1:81" x14ac:dyDescent="0.2">
      <c r="A325">
        <f t="shared" si="263"/>
        <v>555000</v>
      </c>
      <c r="B325">
        <f t="shared" si="243"/>
        <v>555</v>
      </c>
      <c r="C325">
        <f t="shared" si="212"/>
        <v>1.0590577866896205</v>
      </c>
      <c r="D325">
        <f t="shared" si="213"/>
        <v>0.33553118559990136</v>
      </c>
      <c r="F325">
        <f t="shared" si="214"/>
        <v>4.5521477959128151E-4</v>
      </c>
      <c r="G325">
        <f t="shared" si="215"/>
        <v>1.2385520782497687E-2</v>
      </c>
      <c r="H325">
        <f t="shared" si="216"/>
        <v>-3.1292071292175025</v>
      </c>
      <c r="J325">
        <f t="shared" si="217"/>
        <v>15</v>
      </c>
      <c r="M325">
        <f t="shared" si="218"/>
        <v>1.4374218724627461E-3</v>
      </c>
      <c r="N325">
        <f t="shared" si="219"/>
        <v>-1.5707963250000001</v>
      </c>
      <c r="O325">
        <f t="shared" si="220"/>
        <v>62.776986354495648</v>
      </c>
      <c r="P325">
        <f t="shared" si="221"/>
        <v>1.5548662486900031</v>
      </c>
      <c r="Q325">
        <f t="shared" si="222"/>
        <v>66.053134148184228</v>
      </c>
      <c r="R325">
        <f t="shared" si="223"/>
        <v>1.5556564213731869</v>
      </c>
      <c r="S325">
        <f t="shared" si="224"/>
        <v>0.99059955466968663</v>
      </c>
      <c r="T325">
        <f t="shared" si="225"/>
        <v>-0.13722398058942611</v>
      </c>
      <c r="U325">
        <f t="shared" si="226"/>
        <v>0.28971528143652342</v>
      </c>
      <c r="V325">
        <f t="shared" si="227"/>
        <v>-1.2768669789188585</v>
      </c>
      <c r="X325">
        <f t="shared" si="244"/>
        <v>-38.152501120858446</v>
      </c>
      <c r="Y325">
        <f t="shared" si="228"/>
        <v>-152.86746372139785</v>
      </c>
      <c r="Z325">
        <f t="shared" si="245"/>
        <v>27.132536278602146</v>
      </c>
      <c r="AC325">
        <v>1</v>
      </c>
      <c r="AD325">
        <f t="shared" si="229"/>
        <v>62.769021147000004</v>
      </c>
      <c r="AE325">
        <f t="shared" si="230"/>
        <v>-0.21888611198625188</v>
      </c>
      <c r="AF325">
        <f t="shared" si="231"/>
        <v>6.6256188988499998E-2</v>
      </c>
      <c r="AG325">
        <f t="shared" si="246"/>
        <v>75.332193774242199</v>
      </c>
      <c r="AH325">
        <f t="shared" si="247"/>
        <v>-263.96282776955945</v>
      </c>
      <c r="AJ325">
        <f t="shared" si="232"/>
        <v>10500</v>
      </c>
      <c r="AK325">
        <f t="shared" si="233"/>
        <v>1449.9643884957002</v>
      </c>
      <c r="AL325">
        <v>1</v>
      </c>
      <c r="AM325">
        <f t="shared" si="234"/>
        <v>66.045564050873409</v>
      </c>
      <c r="AN325">
        <f t="shared" si="248"/>
        <v>24.355561144858186</v>
      </c>
      <c r="AO325">
        <f t="shared" si="249"/>
        <v>-158.61238509199478</v>
      </c>
      <c r="AQ325">
        <f t="shared" si="235"/>
        <v>8.1162177451361544E-3</v>
      </c>
      <c r="AR325">
        <f t="shared" si="236"/>
        <v>-9.0090016971011302</v>
      </c>
      <c r="AT325">
        <f t="shared" si="261"/>
        <v>-2377.4301508596841</v>
      </c>
      <c r="AU325">
        <f t="shared" si="262"/>
        <v>-680.81024134529878</v>
      </c>
      <c r="AV325">
        <f t="shared" si="250"/>
        <v>-2.862692483161478</v>
      </c>
      <c r="AW325">
        <f t="shared" si="251"/>
        <v>-1349.0703244366382</v>
      </c>
      <c r="AX325">
        <f t="shared" si="252"/>
        <v>-652.47062806414203</v>
      </c>
      <c r="AY325">
        <f t="shared" si="260"/>
        <v>-2.6911147361382985</v>
      </c>
      <c r="BA325">
        <f t="shared" si="237"/>
        <v>1.650234083490038</v>
      </c>
      <c r="BB325">
        <f t="shared" si="253"/>
        <v>4.3509110534591811</v>
      </c>
      <c r="BC325">
        <f t="shared" si="254"/>
        <v>-0.17157774702317941</v>
      </c>
      <c r="BD325">
        <f t="shared" si="238"/>
        <v>-189.8306807740247</v>
      </c>
      <c r="BF325">
        <f t="shared" si="239"/>
        <v>-38.464543531692208</v>
      </c>
      <c r="BG325">
        <f t="shared" si="240"/>
        <v>-169.89652185344286</v>
      </c>
      <c r="BH325">
        <f t="shared" si="255"/>
        <v>10.103478146557137</v>
      </c>
      <c r="BI325">
        <f t="shared" si="256"/>
        <v>10.103478146557137</v>
      </c>
      <c r="BJ325">
        <f t="shared" si="241"/>
        <v>0</v>
      </c>
      <c r="BK325">
        <f t="shared" si="257"/>
        <v>0</v>
      </c>
      <c r="BM325">
        <f t="shared" si="258"/>
        <v>-42.815454585151393</v>
      </c>
      <c r="BN325">
        <f t="shared" si="242"/>
        <v>-160.06584107941816</v>
      </c>
      <c r="BQ325" s="56">
        <f t="shared" si="259"/>
        <v>21.25287185374432</v>
      </c>
      <c r="BR325" s="59"/>
      <c r="BS325" s="59"/>
      <c r="BT325" s="59">
        <v>141253.75399999999</v>
      </c>
      <c r="BU325" s="59">
        <v>9.5290400000000002</v>
      </c>
      <c r="BV325" s="59">
        <v>-133.959</v>
      </c>
      <c r="BY325" s="59"/>
      <c r="BZ325" s="59"/>
      <c r="CA325" s="59"/>
      <c r="CC325" s="59"/>
    </row>
    <row r="326" spans="1:81" x14ac:dyDescent="0.2">
      <c r="A326">
        <f t="shared" si="263"/>
        <v>560000</v>
      </c>
      <c r="B326">
        <f t="shared" si="243"/>
        <v>560</v>
      </c>
      <c r="C326">
        <f t="shared" si="212"/>
        <v>1.0600963717154828</v>
      </c>
      <c r="D326">
        <f t="shared" si="213"/>
        <v>0.33832942864594873</v>
      </c>
      <c r="F326">
        <f t="shared" si="214"/>
        <v>4.4711915289600873E-4</v>
      </c>
      <c r="G326">
        <f t="shared" si="215"/>
        <v>1.2274845614337546E-2</v>
      </c>
      <c r="H326">
        <f t="shared" si="216"/>
        <v>-3.1293178043856629</v>
      </c>
      <c r="J326">
        <f t="shared" si="217"/>
        <v>15</v>
      </c>
      <c r="M326">
        <f t="shared" si="218"/>
        <v>1.4245877486014713E-3</v>
      </c>
      <c r="N326">
        <f t="shared" si="219"/>
        <v>-1.5707963250000001</v>
      </c>
      <c r="O326">
        <f t="shared" si="220"/>
        <v>63.342401922474622</v>
      </c>
      <c r="P326">
        <f t="shared" si="221"/>
        <v>1.555008457789971</v>
      </c>
      <c r="Q326">
        <f t="shared" si="222"/>
        <v>66.648071647211879</v>
      </c>
      <c r="R326">
        <f t="shared" si="223"/>
        <v>1.5557915787202146</v>
      </c>
      <c r="S326">
        <f t="shared" si="224"/>
        <v>0.99043184848826615</v>
      </c>
      <c r="T326">
        <f t="shared" si="225"/>
        <v>-0.13844456520434781</v>
      </c>
      <c r="U326">
        <f t="shared" si="226"/>
        <v>0.28734299688561615</v>
      </c>
      <c r="V326">
        <f t="shared" si="227"/>
        <v>-1.2793446362456458</v>
      </c>
      <c r="X326">
        <f t="shared" si="244"/>
        <v>-38.294871676478927</v>
      </c>
      <c r="Y326">
        <f t="shared" si="228"/>
        <v>-152.90947915297482</v>
      </c>
      <c r="Z326">
        <f t="shared" si="245"/>
        <v>27.090520847025175</v>
      </c>
      <c r="AC326">
        <v>1</v>
      </c>
      <c r="AD326">
        <f t="shared" si="229"/>
        <v>63.334507824000006</v>
      </c>
      <c r="AE326">
        <f t="shared" si="230"/>
        <v>-0.22284777118379542</v>
      </c>
      <c r="AF326">
        <f t="shared" si="231"/>
        <v>6.6853091591999994E-2</v>
      </c>
      <c r="AG326">
        <f t="shared" si="246"/>
        <v>74.103554865327226</v>
      </c>
      <c r="AH326">
        <f t="shared" si="247"/>
        <v>-261.97460164475126</v>
      </c>
      <c r="AJ326">
        <f t="shared" si="232"/>
        <v>10500</v>
      </c>
      <c r="AK326">
        <f t="shared" si="233"/>
        <v>1463.0271307344001</v>
      </c>
      <c r="AL326">
        <v>1</v>
      </c>
      <c r="AM326">
        <f t="shared" si="234"/>
        <v>66.640569132412807</v>
      </c>
      <c r="AN326">
        <f t="shared" si="248"/>
        <v>24.31287720708254</v>
      </c>
      <c r="AO326">
        <f t="shared" si="249"/>
        <v>-157.19684359204737</v>
      </c>
      <c r="AQ326">
        <f t="shared" si="235"/>
        <v>7.971932420334487E-3</v>
      </c>
      <c r="AR326">
        <f t="shared" si="236"/>
        <v>-8.9285643107746253</v>
      </c>
      <c r="AT326">
        <f t="shared" si="261"/>
        <v>-2338.4663300432326</v>
      </c>
      <c r="AU326">
        <f t="shared" si="262"/>
        <v>-663.7267990922461</v>
      </c>
      <c r="AV326">
        <f t="shared" si="250"/>
        <v>-2.8650359751398708</v>
      </c>
      <c r="AW326">
        <f t="shared" si="251"/>
        <v>-1324.6218297008215</v>
      </c>
      <c r="AX326">
        <f t="shared" si="252"/>
        <v>-646.51279619647858</v>
      </c>
      <c r="AY326">
        <f t="shared" si="260"/>
        <v>-2.6875316963299585</v>
      </c>
      <c r="BA326">
        <f t="shared" si="237"/>
        <v>1.6491698512507647</v>
      </c>
      <c r="BB326">
        <f t="shared" si="253"/>
        <v>4.3453077358399934</v>
      </c>
      <c r="BC326">
        <f t="shared" si="254"/>
        <v>-0.17750427880991237</v>
      </c>
      <c r="BD326">
        <f t="shared" si="238"/>
        <v>-190.17024603294263</v>
      </c>
      <c r="BF326">
        <f t="shared" si="239"/>
        <v>-38.617494645073378</v>
      </c>
      <c r="BG326">
        <f t="shared" si="240"/>
        <v>-170.08210081562697</v>
      </c>
      <c r="BH326">
        <f t="shared" si="255"/>
        <v>9.9178991843730273</v>
      </c>
      <c r="BI326">
        <f t="shared" si="256"/>
        <v>9.9178991843730273</v>
      </c>
      <c r="BJ326">
        <f t="shared" si="241"/>
        <v>0</v>
      </c>
      <c r="BK326">
        <f t="shared" si="257"/>
        <v>0</v>
      </c>
      <c r="BM326">
        <f t="shared" si="258"/>
        <v>-42.962802380913374</v>
      </c>
      <c r="BN326">
        <f t="shared" si="242"/>
        <v>-159.91185478268434</v>
      </c>
      <c r="BQ326" s="56">
        <f t="shared" si="259"/>
        <v>21.24726853612513</v>
      </c>
      <c r="BR326" s="59"/>
      <c r="BS326" s="59"/>
      <c r="BT326" s="59">
        <v>144543.97700000001</v>
      </c>
      <c r="BU326" s="59">
        <v>9.7312899999999996</v>
      </c>
      <c r="BV326" s="59">
        <v>-134.75200000000001</v>
      </c>
      <c r="BY326" s="59"/>
      <c r="BZ326" s="59"/>
      <c r="CA326" s="59"/>
      <c r="CC326" s="59"/>
    </row>
    <row r="327" spans="1:81" x14ac:dyDescent="0.2">
      <c r="A327">
        <f t="shared" si="263"/>
        <v>565000</v>
      </c>
      <c r="B327">
        <f t="shared" si="243"/>
        <v>565</v>
      </c>
      <c r="C327">
        <f t="shared" si="212"/>
        <v>1.0611432411835364</v>
      </c>
      <c r="D327">
        <f t="shared" si="213"/>
        <v>0.34112217231783482</v>
      </c>
      <c r="F327">
        <f t="shared" si="214"/>
        <v>4.3923760908052092E-4</v>
      </c>
      <c r="G327">
        <f t="shared" si="215"/>
        <v>1.2166131661775657E-2</v>
      </c>
      <c r="H327">
        <f t="shared" si="216"/>
        <v>-3.1294265183382244</v>
      </c>
      <c r="J327">
        <f t="shared" si="217"/>
        <v>15</v>
      </c>
      <c r="M327">
        <f t="shared" si="218"/>
        <v>1.4119807773749098E-3</v>
      </c>
      <c r="N327">
        <f t="shared" si="219"/>
        <v>-1.5707963250000001</v>
      </c>
      <c r="O327">
        <f t="shared" si="220"/>
        <v>63.907818748787143</v>
      </c>
      <c r="P327">
        <f t="shared" si="221"/>
        <v>1.5551481505365221</v>
      </c>
      <c r="Q327">
        <f t="shared" si="222"/>
        <v>67.243010342190033</v>
      </c>
      <c r="R327">
        <f t="shared" si="223"/>
        <v>1.5559243444356092</v>
      </c>
      <c r="S327">
        <f t="shared" si="224"/>
        <v>0.99026272451218589</v>
      </c>
      <c r="T327">
        <f t="shared" si="225"/>
        <v>-0.13966473478787747</v>
      </c>
      <c r="U327">
        <f t="shared" si="226"/>
        <v>0.28500753970681786</v>
      </c>
      <c r="V327">
        <f t="shared" si="227"/>
        <v>-1.28178203268588</v>
      </c>
      <c r="X327">
        <f t="shared" si="244"/>
        <v>-38.435970044010745</v>
      </c>
      <c r="Y327">
        <f t="shared" si="228"/>
        <v>-152.94964795450571</v>
      </c>
      <c r="Z327">
        <f t="shared" si="245"/>
        <v>27.050352045494293</v>
      </c>
      <c r="AC327">
        <v>1</v>
      </c>
      <c r="AD327">
        <f t="shared" si="229"/>
        <v>63.899994501000002</v>
      </c>
      <c r="AE327">
        <f t="shared" si="230"/>
        <v>-0.22684496095710174</v>
      </c>
      <c r="AF327">
        <f t="shared" si="231"/>
        <v>6.7449994195500004E-2</v>
      </c>
      <c r="AG327">
        <f t="shared" si="246"/>
        <v>72.903857206298028</v>
      </c>
      <c r="AH327">
        <f t="shared" si="247"/>
        <v>-260.01295998265414</v>
      </c>
      <c r="AJ327">
        <f t="shared" si="232"/>
        <v>10500</v>
      </c>
      <c r="AK327">
        <f t="shared" si="233"/>
        <v>1476.0898729731002</v>
      </c>
      <c r="AL327">
        <v>1</v>
      </c>
      <c r="AM327">
        <f t="shared" si="234"/>
        <v>67.235574213952205</v>
      </c>
      <c r="AN327">
        <f t="shared" si="248"/>
        <v>24.271321115360916</v>
      </c>
      <c r="AO327">
        <f t="shared" si="249"/>
        <v>-155.8063391494141</v>
      </c>
      <c r="AQ327">
        <f t="shared" si="235"/>
        <v>7.8314607005554853E-3</v>
      </c>
      <c r="AR327">
        <f t="shared" si="236"/>
        <v>-8.8495505916276986</v>
      </c>
      <c r="AT327">
        <f t="shared" si="261"/>
        <v>-2300.4269001527359</v>
      </c>
      <c r="AU327">
        <f t="shared" si="262"/>
        <v>-647.20265394967521</v>
      </c>
      <c r="AV327">
        <f t="shared" si="250"/>
        <v>-2.8673415802179552</v>
      </c>
      <c r="AW327">
        <f t="shared" si="251"/>
        <v>-1300.8219198286681</v>
      </c>
      <c r="AX327">
        <f t="shared" si="252"/>
        <v>-640.66464506358204</v>
      </c>
      <c r="AY327">
        <f t="shared" si="260"/>
        <v>-2.6839569324008412</v>
      </c>
      <c r="BA327">
        <f t="shared" si="237"/>
        <v>1.6480585429780017</v>
      </c>
      <c r="BB327">
        <f t="shared" si="253"/>
        <v>4.3394526962597855</v>
      </c>
      <c r="BC327">
        <f t="shared" si="254"/>
        <v>-0.18338464781711394</v>
      </c>
      <c r="BD327">
        <f t="shared" si="238"/>
        <v>-190.50716635941981</v>
      </c>
      <c r="BF327">
        <f t="shared" si="239"/>
        <v>-38.769251500695447</v>
      </c>
      <c r="BG327">
        <f t="shared" si="240"/>
        <v>-170.26523756692342</v>
      </c>
      <c r="BH327">
        <f t="shared" si="255"/>
        <v>9.7347624330765825</v>
      </c>
      <c r="BI327">
        <f t="shared" si="256"/>
        <v>9.7347624330765825</v>
      </c>
      <c r="BJ327">
        <f t="shared" si="241"/>
        <v>0</v>
      </c>
      <c r="BK327">
        <f t="shared" si="257"/>
        <v>0</v>
      </c>
      <c r="BM327">
        <f t="shared" si="258"/>
        <v>-43.108704196955223</v>
      </c>
      <c r="BN327">
        <f t="shared" si="242"/>
        <v>-159.75807120750363</v>
      </c>
      <c r="BQ327" s="56">
        <f t="shared" si="259"/>
        <v>21.241413496544922</v>
      </c>
      <c r="BR327" s="59"/>
      <c r="BS327" s="59"/>
      <c r="BT327" s="59">
        <v>147910.83900000001</v>
      </c>
      <c r="BU327" s="59">
        <v>9.9010099999999994</v>
      </c>
      <c r="BV327" s="59">
        <v>-135.72399999999999</v>
      </c>
      <c r="BY327" s="59"/>
      <c r="BZ327" s="59"/>
      <c r="CA327" s="59"/>
      <c r="CC327" s="59"/>
    </row>
    <row r="328" spans="1:81" x14ac:dyDescent="0.2">
      <c r="A328">
        <f t="shared" si="263"/>
        <v>570000</v>
      </c>
      <c r="B328">
        <f t="shared" si="243"/>
        <v>570</v>
      </c>
      <c r="C328">
        <f t="shared" si="212"/>
        <v>1.0621983705991214</v>
      </c>
      <c r="D328">
        <f t="shared" si="213"/>
        <v>0.34390938937674587</v>
      </c>
      <c r="F328">
        <f t="shared" si="214"/>
        <v>4.3156266488885694E-4</v>
      </c>
      <c r="G328">
        <f t="shared" si="215"/>
        <v>1.2059327232002488E-2</v>
      </c>
      <c r="H328">
        <f t="shared" si="216"/>
        <v>-3.1295333227679976</v>
      </c>
      <c r="J328">
        <f t="shared" si="217"/>
        <v>15</v>
      </c>
      <c r="M328">
        <f t="shared" si="218"/>
        <v>1.3995949810821475E-3</v>
      </c>
      <c r="N328">
        <f t="shared" si="219"/>
        <v>-1.5707963250000001</v>
      </c>
      <c r="O328">
        <f t="shared" si="220"/>
        <v>64.473236800327243</v>
      </c>
      <c r="P328">
        <f t="shared" si="221"/>
        <v>1.5552853931279575</v>
      </c>
      <c r="Q328">
        <f t="shared" si="222"/>
        <v>67.837950201653157</v>
      </c>
      <c r="R328">
        <f t="shared" si="223"/>
        <v>1.5560547814385655</v>
      </c>
      <c r="S328">
        <f t="shared" si="224"/>
        <v>0.99009218497799201</v>
      </c>
      <c r="T328">
        <f t="shared" si="225"/>
        <v>-0.14088448592031419</v>
      </c>
      <c r="U328">
        <f t="shared" si="226"/>
        <v>0.28270810142878633</v>
      </c>
      <c r="V328">
        <f t="shared" si="227"/>
        <v>-1.2841801133966793</v>
      </c>
      <c r="X328">
        <f t="shared" si="244"/>
        <v>-38.575815802204602</v>
      </c>
      <c r="Y328">
        <f t="shared" si="228"/>
        <v>-152.98802120813147</v>
      </c>
      <c r="Z328">
        <f t="shared" si="245"/>
        <v>27.011978791868529</v>
      </c>
      <c r="AC328">
        <v>1</v>
      </c>
      <c r="AD328">
        <f t="shared" si="229"/>
        <v>64.465481178000005</v>
      </c>
      <c r="AE328">
        <f t="shared" si="230"/>
        <v>-0.23087768130617076</v>
      </c>
      <c r="AF328">
        <f t="shared" si="231"/>
        <v>6.8046896799000001E-2</v>
      </c>
      <c r="AG328">
        <f t="shared" si="246"/>
        <v>71.732227364996987</v>
      </c>
      <c r="AH328">
        <f t="shared" si="247"/>
        <v>-258.07746062000638</v>
      </c>
      <c r="AJ328">
        <f t="shared" si="232"/>
        <v>10500</v>
      </c>
      <c r="AK328">
        <f t="shared" si="233"/>
        <v>1489.1526152118001</v>
      </c>
      <c r="AL328">
        <v>1</v>
      </c>
      <c r="AM328">
        <f t="shared" si="234"/>
        <v>67.830579295491603</v>
      </c>
      <c r="AN328">
        <f t="shared" si="248"/>
        <v>24.230853484629559</v>
      </c>
      <c r="AO328">
        <f t="shared" si="249"/>
        <v>-154.44021347480441</v>
      </c>
      <c r="AQ328">
        <f t="shared" si="235"/>
        <v>7.6946693639047678E-3</v>
      </c>
      <c r="AR328">
        <f t="shared" si="236"/>
        <v>-8.7719230748514345</v>
      </c>
      <c r="AT328">
        <f t="shared" si="261"/>
        <v>-2263.2836761393864</v>
      </c>
      <c r="AU328">
        <f t="shared" si="262"/>
        <v>-631.21540116325366</v>
      </c>
      <c r="AV328">
        <f t="shared" si="250"/>
        <v>-2.8696101811010495</v>
      </c>
      <c r="AW328">
        <f t="shared" si="251"/>
        <v>-1277.6478455189131</v>
      </c>
      <c r="AX328">
        <f t="shared" si="252"/>
        <v>-634.92311210077764</v>
      </c>
      <c r="AY328">
        <f t="shared" si="260"/>
        <v>-2.6803905212934431</v>
      </c>
      <c r="BA328">
        <f t="shared" si="237"/>
        <v>1.6469014738929255</v>
      </c>
      <c r="BB328">
        <f t="shared" si="253"/>
        <v>4.3333523643964282</v>
      </c>
      <c r="BC328">
        <f t="shared" si="254"/>
        <v>-0.18921965980760636</v>
      </c>
      <c r="BD328">
        <f t="shared" si="238"/>
        <v>-190.84148792026525</v>
      </c>
      <c r="BF328">
        <f t="shared" si="239"/>
        <v>-38.919832513051261</v>
      </c>
      <c r="BG328">
        <f t="shared" si="240"/>
        <v>-170.44598279659024</v>
      </c>
      <c r="BH328">
        <f t="shared" si="255"/>
        <v>9.5540172034097566</v>
      </c>
      <c r="BI328">
        <f t="shared" si="256"/>
        <v>9.5540172034097566</v>
      </c>
      <c r="BJ328">
        <f t="shared" si="241"/>
        <v>0</v>
      </c>
      <c r="BK328">
        <f t="shared" si="257"/>
        <v>0</v>
      </c>
      <c r="BM328">
        <f t="shared" si="258"/>
        <v>-43.253184877447694</v>
      </c>
      <c r="BN328">
        <f t="shared" si="242"/>
        <v>-159.60449487632499</v>
      </c>
      <c r="BQ328" s="56">
        <f t="shared" si="259"/>
        <v>21.235313164681564</v>
      </c>
      <c r="BR328" s="59"/>
      <c r="BS328" s="59"/>
      <c r="BT328" s="59">
        <v>151356.125</v>
      </c>
      <c r="BU328" s="59">
        <v>10.0764</v>
      </c>
      <c r="BV328" s="59">
        <v>-136.34200000000001</v>
      </c>
      <c r="BY328" s="59"/>
      <c r="BZ328" s="59"/>
      <c r="CA328" s="59"/>
      <c r="CC328" s="59"/>
    </row>
    <row r="329" spans="1:81" x14ac:dyDescent="0.2">
      <c r="A329">
        <f t="shared" si="263"/>
        <v>575000</v>
      </c>
      <c r="B329">
        <f t="shared" si="243"/>
        <v>575</v>
      </c>
      <c r="C329">
        <f t="shared" ref="C329:C392" si="264">SQRT((A329/Fesr)^2+1)</f>
        <v>1.0632617353719227</v>
      </c>
      <c r="D329">
        <f t="shared" ref="D329:D392" si="265">ATAN(A329/Fesr)</f>
        <v>0.34669105303503178</v>
      </c>
      <c r="F329">
        <f t="shared" ref="F329:F392" si="266">(Ro/(Ro+Rdcr))/SQRT((A329/(Q*Fo))^2+(1-(A329^2/Fo^2))^2)</f>
        <v>4.240871612400857E-4</v>
      </c>
      <c r="G329">
        <f t="shared" ref="G329:G392" si="267">-ATAN(A329*Fo/(Q*(Fo^2-A329^2)))</f>
        <v>1.1954382433734988E-2</v>
      </c>
      <c r="H329">
        <f t="shared" ref="H329:H392" si="268">IF(G329&gt;0,G329-Pi,G329)</f>
        <v>-3.1296382675662651</v>
      </c>
      <c r="J329">
        <f t="shared" ref="J329:J392" si="269">Vin/Vramp</f>
        <v>15</v>
      </c>
      <c r="M329">
        <f t="shared" ref="M329:M392" si="270">1/(2*Pi*_Rfb1*(Cc1ea_u+Cc2ea_u)*A329)</f>
        <v>1.3874245899423026E-3</v>
      </c>
      <c r="N329">
        <f t="shared" ref="N329:N392" si="271">-Pi/2</f>
        <v>-1.5707963250000001</v>
      </c>
      <c r="O329">
        <f t="shared" ref="O329:O392" si="272">SQRT(1+(A329/Fz1_u)^2)</f>
        <v>65.038656045140129</v>
      </c>
      <c r="P329">
        <f t="shared" ref="P329:P392" si="273">ATAN2(Fz1_u,A329)</f>
        <v>1.5554202494609515</v>
      </c>
      <c r="Q329">
        <f t="shared" ref="Q329:Q392" si="274">SQRT(1+(A329/Fz2_u)^2)</f>
        <v>68.432891195230013</v>
      </c>
      <c r="R329">
        <f t="shared" ref="R329:R392" si="275">ATAN2(Fz2_u,A329)</f>
        <v>1.5561829504605775</v>
      </c>
      <c r="S329">
        <f t="shared" ref="S329:S392" si="276">1/SQRT(1+(A329/Fp1_u)^2)</f>
        <v>0.98992023213887048</v>
      </c>
      <c r="T329">
        <f t="shared" ref="T329:T392" si="277">-ATAN2(Fp1_u,A329)</f>
        <v>-0.14210381518928281</v>
      </c>
      <c r="U329">
        <f t="shared" ref="U329:U392" si="278">1/SQRT(1+(A329/Fp2_u)^2)</f>
        <v>0.2804438956366192</v>
      </c>
      <c r="V329">
        <f t="shared" ref="V329:V392" si="279">-ATAN2(Fp2_u,A329)</f>
        <v>-1.2865397950977375</v>
      </c>
      <c r="X329">
        <f t="shared" si="244"/>
        <v>-38.714428098218519</v>
      </c>
      <c r="Y329">
        <f t="shared" ref="Y329:Y392" si="280">(180/Pi)*(D329+H329+N329+P329+R329+T329+V329)</f>
        <v>-153.024648495218</v>
      </c>
      <c r="Z329">
        <f t="shared" si="245"/>
        <v>26.975351504781997</v>
      </c>
      <c r="AC329">
        <v>1</v>
      </c>
      <c r="AD329">
        <f t="shared" ref="AD329:AD392" si="281">Rcea1_u*Cc1ea_u*A329*2*Pi</f>
        <v>65.030967855</v>
      </c>
      <c r="AE329">
        <f t="shared" ref="AE329:AE392" si="282">-Rcea1_u*Cc1ea_u*Cc2ea_u*(A329*2*Pi)^2</f>
        <v>-0.23494593223100249</v>
      </c>
      <c r="AF329">
        <f t="shared" ref="AF329:AF392" si="283">(Cc2ea_u+Cc1ea_u)*A329*2*Pi</f>
        <v>6.8643799402499997E-2</v>
      </c>
      <c r="AG329">
        <f t="shared" si="246"/>
        <v>70.587823452490568</v>
      </c>
      <c r="AH329">
        <f t="shared" si="247"/>
        <v>-256.16766755720113</v>
      </c>
      <c r="AJ329">
        <f t="shared" ref="AJ329:AJ392" si="284">_Rfb1</f>
        <v>10500</v>
      </c>
      <c r="AK329">
        <f t="shared" ref="AK329:AK392" si="285">_Rfb1*Rcea2_u*Cc3ea_u*A329*2*Pi</f>
        <v>1502.2153574505001</v>
      </c>
      <c r="AL329">
        <v>1</v>
      </c>
      <c r="AM329">
        <f t="shared" ref="AM329:AM392" si="286">(_Rfb1+Rcea2_u)*Cc3ea_u*A329*2*Pi</f>
        <v>68.425584377031015</v>
      </c>
      <c r="AN329">
        <f t="shared" si="248"/>
        <v>24.191436634002557</v>
      </c>
      <c r="AO329">
        <f t="shared" si="249"/>
        <v>-153.09783115104094</v>
      </c>
      <c r="AQ329">
        <f t="shared" ref="AQ329:AQ392" si="287">Eadcg/(1+(Eadcg*A329/GBP)^2)</f>
        <v>7.5614309554397309E-3</v>
      </c>
      <c r="AR329">
        <f t="shared" ref="AR329:AR392" si="288">-(A329*Eadcg*Eadcg/GBP)/(1+(Eadcg*A329/GBP)^2)</f>
        <v>-8.6956455987556911</v>
      </c>
      <c r="AT329">
        <f t="shared" si="261"/>
        <v>-2227.0095059839564</v>
      </c>
      <c r="AU329">
        <f t="shared" si="262"/>
        <v>-615.74369046164315</v>
      </c>
      <c r="AV329">
        <f t="shared" si="250"/>
        <v>-2.8718426342283601</v>
      </c>
      <c r="AW329">
        <f t="shared" si="251"/>
        <v>-1255.0778463911995</v>
      </c>
      <c r="AX329">
        <f t="shared" si="252"/>
        <v>-629.28525016877927</v>
      </c>
      <c r="AY329">
        <f t="shared" si="260"/>
        <v>-2.6768325367989365</v>
      </c>
      <c r="BA329">
        <f t="shared" ref="BA329:BA392" si="289">SQRT(AT329^2+AU329^2)/SQRT(AW329^2+AX329^2)</f>
        <v>1.645699917007305</v>
      </c>
      <c r="BB329">
        <f t="shared" si="253"/>
        <v>4.3270129447542658</v>
      </c>
      <c r="BC329">
        <f t="shared" si="254"/>
        <v>-0.19501009742942355</v>
      </c>
      <c r="BD329">
        <f t="shared" ref="BD329:BD392" si="290">BC329*180/Pi-180</f>
        <v>-191.17325555790825</v>
      </c>
      <c r="BF329">
        <f t="shared" ref="BF329:BF392" si="291">20*LOG(BA329*J329*F329*C329)</f>
        <v>-39.069255680800943</v>
      </c>
      <c r="BG329">
        <f t="shared" ref="BG329:BG392" si="292">(180/Pi)*(D329+H329+BC329)</f>
        <v>-170.62438574043588</v>
      </c>
      <c r="BH329">
        <f t="shared" si="255"/>
        <v>9.3756142595641165</v>
      </c>
      <c r="BI329">
        <f t="shared" si="256"/>
        <v>9.3756142595641165</v>
      </c>
      <c r="BJ329">
        <f t="shared" ref="BJ329:BJ392" si="293">SUM((BF330&lt;0)*(BF329&gt;0))*A329</f>
        <v>0</v>
      </c>
      <c r="BK329">
        <f t="shared" si="257"/>
        <v>0</v>
      </c>
      <c r="BM329">
        <f t="shared" si="258"/>
        <v>-43.396268625555209</v>
      </c>
      <c r="BN329">
        <f t="shared" ref="BN329:BN392" si="294">(H329+D329)*180/Pi</f>
        <v>-159.45113018252763</v>
      </c>
      <c r="BQ329" s="56">
        <f t="shared" si="259"/>
        <v>21.228973745039404</v>
      </c>
      <c r="BR329" s="59"/>
      <c r="BS329" s="59"/>
      <c r="BT329" s="59">
        <v>154881.66200000001</v>
      </c>
      <c r="BU329" s="59">
        <v>10.266</v>
      </c>
      <c r="BV329" s="59">
        <v>-136.816</v>
      </c>
      <c r="BY329" s="59"/>
      <c r="BZ329" s="59"/>
      <c r="CA329" s="59"/>
      <c r="CC329" s="59"/>
    </row>
    <row r="330" spans="1:81" x14ac:dyDescent="0.2">
      <c r="A330">
        <f t="shared" si="263"/>
        <v>580000</v>
      </c>
      <c r="B330">
        <f t="shared" ref="B330:B393" si="295">A330/1000</f>
        <v>580</v>
      </c>
      <c r="C330">
        <f t="shared" si="264"/>
        <v>1.0643333108183515</v>
      </c>
      <c r="D330">
        <f t="shared" si="265"/>
        <v>0.34946713695543752</v>
      </c>
      <c r="F330">
        <f t="shared" si="266"/>
        <v>4.1680424651927201E-4</v>
      </c>
      <c r="G330">
        <f t="shared" si="267"/>
        <v>1.1851249099384948E-2</v>
      </c>
      <c r="H330">
        <f t="shared" si="268"/>
        <v>-3.1297414009006155</v>
      </c>
      <c r="J330">
        <f t="shared" si="269"/>
        <v>15</v>
      </c>
      <c r="M330">
        <f t="shared" si="270"/>
        <v>1.3754640331324554E-3</v>
      </c>
      <c r="N330">
        <f t="shared" si="271"/>
        <v>-1.5707963250000001</v>
      </c>
      <c r="O330">
        <f t="shared" si="272"/>
        <v>65.604076452372553</v>
      </c>
      <c r="P330">
        <f t="shared" si="273"/>
        <v>1.5555527812297139</v>
      </c>
      <c r="Q330">
        <f t="shared" si="274"/>
        <v>69.027833293596288</v>
      </c>
      <c r="R330">
        <f t="shared" si="275"/>
        <v>1.5563089101396947</v>
      </c>
      <c r="S330">
        <f t="shared" si="276"/>
        <v>0.9897468682645677</v>
      </c>
      <c r="T330">
        <f t="shared" si="277"/>
        <v>-0.14332271918978587</v>
      </c>
      <c r="U330">
        <f t="shared" si="278"/>
        <v>0.27821415728706456</v>
      </c>
      <c r="V330">
        <f t="shared" si="279"/>
        <v>-1.2888619670956134</v>
      </c>
      <c r="X330">
        <f t="shared" ref="X330:X393" si="296">20*LOG(C330*J330*O330*Q330*F330*M330*S330*U330)</f>
        <v>-38.851825660020872</v>
      </c>
      <c r="Y330">
        <f t="shared" si="280"/>
        <v>-153.05957794846836</v>
      </c>
      <c r="Z330">
        <f t="shared" ref="Z330:Z393" si="297">Y330+180</f>
        <v>26.940422051531641</v>
      </c>
      <c r="AC330">
        <v>1</v>
      </c>
      <c r="AD330">
        <f t="shared" si="281"/>
        <v>65.596454531999996</v>
      </c>
      <c r="AE330">
        <f t="shared" si="282"/>
        <v>-0.23904971373159692</v>
      </c>
      <c r="AF330">
        <f t="shared" si="283"/>
        <v>6.9240702005999993E-2</v>
      </c>
      <c r="AG330">
        <f t="shared" ref="AG330:AG359" si="298">AC330*AE330/(AE330^2+AF330^2)+AD330*AF330/(AE330^2+AF330^2)</f>
        <v>69.469833822837302</v>
      </c>
      <c r="AH330">
        <f t="shared" ref="AH330:AH359" si="299">AD330*AE330/(AE330^2+AF330^2)-AC330*AF330/(AE330^2+AF330^2)</f>
        <v>-254.28315106922469</v>
      </c>
      <c r="AJ330">
        <f t="shared" si="284"/>
        <v>10500</v>
      </c>
      <c r="AK330">
        <f t="shared" si="285"/>
        <v>1515.2780996892002</v>
      </c>
      <c r="AL330">
        <v>1</v>
      </c>
      <c r="AM330">
        <f t="shared" si="286"/>
        <v>69.020589458570413</v>
      </c>
      <c r="AN330">
        <f t="shared" ref="AN330:AN359" si="300">AJ330*AL330/(AL330^2+AM330^2)+AK330*AM330/(AL330^2+AM330^2)</f>
        <v>24.153034499050662</v>
      </c>
      <c r="AO330">
        <f t="shared" ref="AO330:AO359" si="301">AK330*AL330/(AL330^2+AM330^2)-AJ330*AM330/(AL330^2+AM330^2)</f>
        <v>-151.77857864846365</v>
      </c>
      <c r="AQ330">
        <f t="shared" si="287"/>
        <v>7.431623490172793E-3</v>
      </c>
      <c r="AR330">
        <f t="shared" si="288"/>
        <v>-8.6206832486004394</v>
      </c>
      <c r="AT330">
        <f t="shared" si="261"/>
        <v>-2191.578227174904</v>
      </c>
      <c r="AU330">
        <f t="shared" si="262"/>
        <v>-600.76716935823094</v>
      </c>
      <c r="AV330">
        <f t="shared" ref="AV330:AV393" si="302">ATAN2(AT330,AU330)</f>
        <v>-2.8740397707037277</v>
      </c>
      <c r="AW330">
        <f t="shared" ref="AW330:AW393" si="303">AG330-AH330*AO330/_Rfb2+AG330*AN330/_Rfb2+AN330-AO330*AR330+AQ330*AN330</f>
        <v>-1233.0910998460515</v>
      </c>
      <c r="AX330">
        <f t="shared" ref="AX330:AX393" si="304">AH330+AH330*AN330/_Rfb2+AG330*AO330/_Rfb2+AO330+AO330*AQ330+AN330*AR330</f>
        <v>-623.74822205535065</v>
      </c>
      <c r="AY330">
        <f t="shared" si="260"/>
        <v>-2.6732830496779525</v>
      </c>
      <c r="BA330">
        <f t="shared" si="289"/>
        <v>1.644455104890457</v>
      </c>
      <c r="BB330">
        <f t="shared" ref="BB330:BB393" si="305">20*LOG(BA330)</f>
        <v>4.320440426978652</v>
      </c>
      <c r="BC330">
        <f t="shared" ref="BC330:BC393" si="306">AV330-AY330</f>
        <v>-0.20075672102577524</v>
      </c>
      <c r="BD330">
        <f t="shared" si="290"/>
        <v>-191.50251283680575</v>
      </c>
      <c r="BF330">
        <f t="shared" si="291"/>
        <v>-39.217538598679326</v>
      </c>
      <c r="BG330">
        <f t="shared" si="292"/>
        <v>-170.80049423173037</v>
      </c>
      <c r="BH330">
        <f t="shared" ref="BH330:BH393" si="307">IF(BG330&gt;180,BG330-180,BG330+180)</f>
        <v>9.1995057682696313</v>
      </c>
      <c r="BI330">
        <f t="shared" ref="BI330:BI393" si="308">IF(BH330&gt;180,BH330-360,BH330)</f>
        <v>9.1995057682696313</v>
      </c>
      <c r="BJ330">
        <f t="shared" si="293"/>
        <v>0</v>
      </c>
      <c r="BK330">
        <f t="shared" ref="BK330:BK393" si="309">IF(BJ330&gt;0,BI330,0)</f>
        <v>0</v>
      </c>
      <c r="BM330">
        <f t="shared" ref="BM330:BM393" si="310">20*LOG(J330*F330*C330)</f>
        <v>-43.537979025657975</v>
      </c>
      <c r="BN330">
        <f t="shared" si="294"/>
        <v>-159.29798139492465</v>
      </c>
      <c r="BQ330" s="56">
        <f t="shared" ref="BQ330:BQ393" si="311">20*LOG(BA330*7)</f>
        <v>21.222401227263788</v>
      </c>
      <c r="BR330" s="59"/>
      <c r="BS330" s="59"/>
      <c r="BT330" s="59">
        <v>158489.31899999999</v>
      </c>
      <c r="BU330" s="59">
        <v>10.4788</v>
      </c>
      <c r="BV330" s="59">
        <v>-137.47</v>
      </c>
      <c r="BY330" s="59"/>
      <c r="BZ330" s="59"/>
      <c r="CA330" s="59"/>
      <c r="CC330" s="59"/>
    </row>
    <row r="331" spans="1:81" x14ac:dyDescent="0.2">
      <c r="A331">
        <f t="shared" si="263"/>
        <v>585000</v>
      </c>
      <c r="B331">
        <f t="shared" si="295"/>
        <v>585</v>
      </c>
      <c r="C331">
        <f t="shared" si="264"/>
        <v>1.0654130721639155</v>
      </c>
      <c r="D331">
        <f t="shared" si="265"/>
        <v>0.35223761525026248</v>
      </c>
      <c r="F331">
        <f t="shared" si="266"/>
        <v>4.0970736086477078E-4</v>
      </c>
      <c r="G331">
        <f t="shared" si="267"/>
        <v>1.1749880711229333E-2</v>
      </c>
      <c r="H331">
        <f t="shared" si="268"/>
        <v>-3.1298427692887709</v>
      </c>
      <c r="J331">
        <f t="shared" si="269"/>
        <v>15</v>
      </c>
      <c r="M331">
        <f t="shared" si="270"/>
        <v>1.3637079302851692E-3</v>
      </c>
      <c r="N331">
        <f t="shared" si="271"/>
        <v>-1.5707963250000001</v>
      </c>
      <c r="O331">
        <f t="shared" si="272"/>
        <v>66.169497992225772</v>
      </c>
      <c r="P331">
        <f t="shared" si="273"/>
        <v>1.5556830480200672</v>
      </c>
      <c r="Q331">
        <f t="shared" si="274"/>
        <v>69.622776468429961</v>
      </c>
      <c r="R331">
        <f t="shared" si="275"/>
        <v>1.5564327171099492</v>
      </c>
      <c r="S331">
        <f t="shared" si="276"/>
        <v>0.98957209564130966</v>
      </c>
      <c r="T331">
        <f t="shared" si="277"/>
        <v>-0.14454119452425515</v>
      </c>
      <c r="U331">
        <f t="shared" si="278"/>
        <v>0.27601814204571207</v>
      </c>
      <c r="V331">
        <f t="shared" si="279"/>
        <v>-1.2911474922658821</v>
      </c>
      <c r="X331">
        <f t="shared" si="296"/>
        <v>-38.988026808361688</v>
      </c>
      <c r="Y331">
        <f t="shared" si="280"/>
        <v>-153.09285630196302</v>
      </c>
      <c r="Z331">
        <f t="shared" si="297"/>
        <v>26.907143698036975</v>
      </c>
      <c r="AC331">
        <v>1</v>
      </c>
      <c r="AD331">
        <f t="shared" si="281"/>
        <v>66.161941209000005</v>
      </c>
      <c r="AE331">
        <f t="shared" si="282"/>
        <v>-0.2431890258079541</v>
      </c>
      <c r="AF331">
        <f t="shared" si="283"/>
        <v>6.983760460949999E-2</v>
      </c>
      <c r="AG331">
        <f t="shared" si="298"/>
        <v>68.377475831664398</v>
      </c>
      <c r="AH331">
        <f t="shared" si="299"/>
        <v>-252.42348779401536</v>
      </c>
      <c r="AJ331">
        <f t="shared" si="284"/>
        <v>10500</v>
      </c>
      <c r="AK331">
        <f t="shared" si="285"/>
        <v>1528.3408419279003</v>
      </c>
      <c r="AL331">
        <v>1</v>
      </c>
      <c r="AM331">
        <f t="shared" si="286"/>
        <v>69.615594540109797</v>
      </c>
      <c r="AN331">
        <f t="shared" si="300"/>
        <v>24.115612549302856</v>
      </c>
      <c r="AO331">
        <f t="shared" si="301"/>
        <v>-150.48186339075073</v>
      </c>
      <c r="AQ331">
        <f t="shared" si="287"/>
        <v>7.3051301737671317E-3</v>
      </c>
      <c r="AR331">
        <f t="shared" si="288"/>
        <v>-8.5470023033075435</v>
      </c>
      <c r="AT331">
        <f t="shared" si="261"/>
        <v>-2156.9646252224688</v>
      </c>
      <c r="AU331">
        <f t="shared" si="262"/>
        <v>-586.26642986484308</v>
      </c>
      <c r="AV331">
        <f t="shared" si="302"/>
        <v>-2.8762023971890307</v>
      </c>
      <c r="AW331">
        <f t="shared" si="303"/>
        <v>-1211.6676729831877</v>
      </c>
      <c r="AX331">
        <f t="shared" si="304"/>
        <v>-618.30929529373486</v>
      </c>
      <c r="AY331">
        <f t="shared" ref="AY331:AY394" si="312">ATAN2(AW331,AX331)</f>
        <v>-2.6697421277747853</v>
      </c>
      <c r="BA331">
        <f t="shared" si="289"/>
        <v>1.6431682313491298</v>
      </c>
      <c r="BB331">
        <f t="shared" si="305"/>
        <v>4.3136405956197663</v>
      </c>
      <c r="BC331">
        <f t="shared" si="306"/>
        <v>-0.20646026941424545</v>
      </c>
      <c r="BD331">
        <f t="shared" si="290"/>
        <v>-191.82930208808713</v>
      </c>
      <c r="BF331">
        <f t="shared" si="291"/>
        <v>-39.364698468996686</v>
      </c>
      <c r="BG331">
        <f t="shared" si="292"/>
        <v>-170.9743547501283</v>
      </c>
      <c r="BH331">
        <f t="shared" si="307"/>
        <v>9.025645249871701</v>
      </c>
      <c r="BI331">
        <f t="shared" si="308"/>
        <v>9.025645249871701</v>
      </c>
      <c r="BJ331">
        <f t="shared" si="293"/>
        <v>0</v>
      </c>
      <c r="BK331">
        <f t="shared" si="309"/>
        <v>0</v>
      </c>
      <c r="BM331">
        <f t="shared" si="310"/>
        <v>-43.678339064616445</v>
      </c>
      <c r="BN331">
        <f t="shared" si="294"/>
        <v>-159.14505266204119</v>
      </c>
      <c r="BQ331" s="56">
        <f t="shared" si="311"/>
        <v>21.215601395904905</v>
      </c>
      <c r="BR331" s="59"/>
      <c r="BS331" s="59"/>
      <c r="BT331" s="59">
        <v>162181.01</v>
      </c>
      <c r="BU331" s="59">
        <v>10.741899999999999</v>
      </c>
      <c r="BV331" s="59">
        <v>-137.46899999999999</v>
      </c>
      <c r="BY331" s="59"/>
      <c r="BZ331" s="59"/>
      <c r="CA331" s="59"/>
      <c r="CC331" s="59"/>
    </row>
    <row r="332" spans="1:81" x14ac:dyDescent="0.2">
      <c r="A332">
        <f t="shared" si="263"/>
        <v>590000</v>
      </c>
      <c r="B332">
        <f t="shared" si="295"/>
        <v>590</v>
      </c>
      <c r="C332">
        <f t="shared" si="264"/>
        <v>1.0665009945455783</v>
      </c>
      <c r="D332">
        <f t="shared" si="265"/>
        <v>0.35500246248045131</v>
      </c>
      <c r="F332">
        <f t="shared" si="266"/>
        <v>4.0279022138451948E-4</v>
      </c>
      <c r="G332">
        <f t="shared" si="267"/>
        <v>1.1650232331344495E-2</v>
      </c>
      <c r="H332">
        <f t="shared" si="268"/>
        <v>-3.1299424176686559</v>
      </c>
      <c r="J332">
        <f t="shared" si="269"/>
        <v>15</v>
      </c>
      <c r="M332">
        <f t="shared" si="270"/>
        <v>1.3521510834183458E-3</v>
      </c>
      <c r="N332">
        <f t="shared" si="271"/>
        <v>-1.5707963250000001</v>
      </c>
      <c r="O332">
        <f t="shared" si="272"/>
        <v>66.734920635910925</v>
      </c>
      <c r="P332">
        <f t="shared" si="273"/>
        <v>1.5558111073987446</v>
      </c>
      <c r="Q332">
        <f t="shared" si="274"/>
        <v>70.217720692368857</v>
      </c>
      <c r="R332">
        <f t="shared" si="275"/>
        <v>1.5565544260862347</v>
      </c>
      <c r="S332">
        <f t="shared" si="276"/>
        <v>0.98939591657171999</v>
      </c>
      <c r="T332">
        <f t="shared" si="277"/>
        <v>-0.14575923780260328</v>
      </c>
      <c r="U332">
        <f t="shared" si="278"/>
        <v>0.27385512564557479</v>
      </c>
      <c r="V332">
        <f t="shared" si="279"/>
        <v>-1.2933972079950593</v>
      </c>
      <c r="X332">
        <f t="shared" si="296"/>
        <v>-39.12304946832969</v>
      </c>
      <c r="Y332">
        <f t="shared" si="280"/>
        <v>-153.12452893921807</v>
      </c>
      <c r="Z332">
        <f t="shared" si="297"/>
        <v>26.875471060781933</v>
      </c>
      <c r="AC332">
        <v>1</v>
      </c>
      <c r="AD332">
        <f t="shared" si="281"/>
        <v>66.727427886000015</v>
      </c>
      <c r="AE332">
        <f t="shared" si="282"/>
        <v>-0.24736386846007397</v>
      </c>
      <c r="AF332">
        <f t="shared" si="283"/>
        <v>7.0434507213E-2</v>
      </c>
      <c r="AG332">
        <f t="shared" si="298"/>
        <v>67.309994650754973</v>
      </c>
      <c r="AH332">
        <f t="shared" si="299"/>
        <v>-250.58826080038207</v>
      </c>
      <c r="AJ332">
        <f t="shared" si="284"/>
        <v>10500</v>
      </c>
      <c r="AK332">
        <f t="shared" si="285"/>
        <v>1541.4035841666</v>
      </c>
      <c r="AL332">
        <v>1</v>
      </c>
      <c r="AM332">
        <f t="shared" si="286"/>
        <v>70.210599621649209</v>
      </c>
      <c r="AN332">
        <f t="shared" si="300"/>
        <v>24.079137710618223</v>
      </c>
      <c r="AO332">
        <f t="shared" si="301"/>
        <v>-149.20711286817107</v>
      </c>
      <c r="AQ332">
        <f t="shared" si="287"/>
        <v>7.1818391397305802E-3</v>
      </c>
      <c r="AR332">
        <f t="shared" si="288"/>
        <v>-8.4745701848820847</v>
      </c>
      <c r="AT332">
        <f t="shared" si="261"/>
        <v>-2123.1443941062962</v>
      </c>
      <c r="AU332">
        <f t="shared" si="262"/>
        <v>-572.22295839123387</v>
      </c>
      <c r="AV332">
        <f t="shared" si="302"/>
        <v>-2.8783312967618659</v>
      </c>
      <c r="AW332">
        <f t="shared" si="303"/>
        <v>-1190.7884773709966</v>
      </c>
      <c r="AX332">
        <f t="shared" si="304"/>
        <v>-612.96583727649499</v>
      </c>
      <c r="AY332">
        <f t="shared" si="312"/>
        <v>-2.6662098361254443</v>
      </c>
      <c r="BA332">
        <f t="shared" si="289"/>
        <v>1.6418404530250066</v>
      </c>
      <c r="BB332">
        <f t="shared" si="305"/>
        <v>4.306619039378492</v>
      </c>
      <c r="BC332">
        <f t="shared" si="306"/>
        <v>-0.21212146063642168</v>
      </c>
      <c r="BD332">
        <f t="shared" si="290"/>
        <v>-192.15366445250498</v>
      </c>
      <c r="BF332">
        <f t="shared" si="291"/>
        <v>-39.510752112748968</v>
      </c>
      <c r="BG332">
        <f t="shared" si="292"/>
        <v>-171.14601246868614</v>
      </c>
      <c r="BH332">
        <f t="shared" si="307"/>
        <v>8.8539875313138623</v>
      </c>
      <c r="BI332">
        <f t="shared" si="308"/>
        <v>8.8539875313138623</v>
      </c>
      <c r="BJ332">
        <f t="shared" si="293"/>
        <v>0</v>
      </c>
      <c r="BK332">
        <f t="shared" si="309"/>
        <v>0</v>
      </c>
      <c r="BM332">
        <f t="shared" si="310"/>
        <v>-43.817371152127464</v>
      </c>
      <c r="BN332">
        <f t="shared" si="294"/>
        <v>-158.99234801618115</v>
      </c>
      <c r="BQ332" s="56">
        <f t="shared" si="311"/>
        <v>21.208579839663631</v>
      </c>
      <c r="BR332" s="59"/>
      <c r="BS332" s="59"/>
      <c r="BT332" s="59">
        <v>165958.69099999999</v>
      </c>
      <c r="BU332" s="59">
        <v>11.0235</v>
      </c>
      <c r="BV332" s="59">
        <v>-138.31200000000001</v>
      </c>
      <c r="BY332" s="59"/>
      <c r="BZ332" s="59"/>
      <c r="CA332" s="59"/>
      <c r="CC332" s="59"/>
    </row>
    <row r="333" spans="1:81" x14ac:dyDescent="0.2">
      <c r="A333">
        <f t="shared" si="263"/>
        <v>595000</v>
      </c>
      <c r="B333">
        <f t="shared" si="295"/>
        <v>595</v>
      </c>
      <c r="C333">
        <f t="shared" si="264"/>
        <v>1.0675970530141137</v>
      </c>
      <c r="D333">
        <f t="shared" si="265"/>
        <v>0.35776165365461526</v>
      </c>
      <c r="F333">
        <f t="shared" si="266"/>
        <v>3.9604680823907435E-4</v>
      </c>
      <c r="G333">
        <f t="shared" si="267"/>
        <v>1.1552260535082216E-2</v>
      </c>
      <c r="H333">
        <f t="shared" si="268"/>
        <v>-3.1300403894649178</v>
      </c>
      <c r="J333">
        <f t="shared" si="269"/>
        <v>15</v>
      </c>
      <c r="M333">
        <f t="shared" si="270"/>
        <v>1.3407884692719732E-3</v>
      </c>
      <c r="N333">
        <f t="shared" si="271"/>
        <v>-1.5707963250000001</v>
      </c>
      <c r="O333">
        <f t="shared" si="272"/>
        <v>67.300344355606512</v>
      </c>
      <c r="P333">
        <f t="shared" si="273"/>
        <v>1.5559370149981879</v>
      </c>
      <c r="Q333">
        <f t="shared" si="274"/>
        <v>70.812665938970298</v>
      </c>
      <c r="R333">
        <f t="shared" si="275"/>
        <v>1.5566740899449112</v>
      </c>
      <c r="S333">
        <f t="shared" si="276"/>
        <v>0.98921833337473852</v>
      </c>
      <c r="T333">
        <f t="shared" si="277"/>
        <v>-0.14697684564227464</v>
      </c>
      <c r="U333">
        <f t="shared" si="278"/>
        <v>0.27172440326646891</v>
      </c>
      <c r="V333">
        <f t="shared" si="279"/>
        <v>-1.2956119270841047</v>
      </c>
      <c r="X333">
        <f t="shared" si="296"/>
        <v>-39.256911180511835</v>
      </c>
      <c r="Y333">
        <f t="shared" si="280"/>
        <v>-153.15463993934569</v>
      </c>
      <c r="Z333">
        <f t="shared" si="297"/>
        <v>26.845360060654315</v>
      </c>
      <c r="AC333">
        <v>1</v>
      </c>
      <c r="AD333">
        <f t="shared" si="281"/>
        <v>67.292914563000011</v>
      </c>
      <c r="AE333">
        <f t="shared" si="282"/>
        <v>-0.25157424168795656</v>
      </c>
      <c r="AF333">
        <f t="shared" si="283"/>
        <v>7.1031409816499996E-2</v>
      </c>
      <c r="AG333">
        <f t="shared" si="298"/>
        <v>66.266662135977896</v>
      </c>
      <c r="AH333">
        <f t="shared" si="299"/>
        <v>-248.77705963743725</v>
      </c>
      <c r="AJ333">
        <f t="shared" si="284"/>
        <v>10500</v>
      </c>
      <c r="AK333">
        <f t="shared" si="285"/>
        <v>1554.4663264053002</v>
      </c>
      <c r="AL333">
        <v>1</v>
      </c>
      <c r="AM333">
        <f t="shared" si="286"/>
        <v>70.805604703188607</v>
      </c>
      <c r="AN333">
        <f t="shared" si="300"/>
        <v>24.043578292102584</v>
      </c>
      <c r="AO333">
        <f t="shared" si="301"/>
        <v>-147.95377379548219</v>
      </c>
      <c r="AQ333">
        <f t="shared" si="287"/>
        <v>7.0616432020032469E-3</v>
      </c>
      <c r="AR333">
        <f t="shared" si="288"/>
        <v>-8.4033554103838632</v>
      </c>
      <c r="AT333">
        <f t="shared" si="261"/>
        <v>-2090.0940985594552</v>
      </c>
      <c r="AU333">
        <f t="shared" si="262"/>
        <v>-558.61908862045243</v>
      </c>
      <c r="AV333">
        <f t="shared" si="302"/>
        <v>-2.8804272297390616</v>
      </c>
      <c r="AW333">
        <f t="shared" si="303"/>
        <v>-1170.4352264756367</v>
      </c>
      <c r="AX333">
        <f t="shared" si="304"/>
        <v>-607.71531064504131</v>
      </c>
      <c r="AY333">
        <f t="shared" si="312"/>
        <v>-2.6626862370599609</v>
      </c>
      <c r="BA333">
        <f t="shared" si="289"/>
        <v>1.6404728909142592</v>
      </c>
      <c r="BB333">
        <f t="shared" si="305"/>
        <v>4.2993811598649909</v>
      </c>
      <c r="BC333">
        <f t="shared" si="306"/>
        <v>-0.21774099267910074</v>
      </c>
      <c r="BD333">
        <f t="shared" si="290"/>
        <v>-192.47563992175694</v>
      </c>
      <c r="BF333">
        <f t="shared" si="291"/>
        <v>-39.655715980352923</v>
      </c>
      <c r="BG333">
        <f t="shared" si="292"/>
        <v>-171.31551129905162</v>
      </c>
      <c r="BH333">
        <f t="shared" si="307"/>
        <v>8.6844887009483784</v>
      </c>
      <c r="BI333">
        <f t="shared" si="308"/>
        <v>8.6844887009483784</v>
      </c>
      <c r="BJ333">
        <f t="shared" si="293"/>
        <v>0</v>
      </c>
      <c r="BK333">
        <f t="shared" si="309"/>
        <v>0</v>
      </c>
      <c r="BM333">
        <f t="shared" si="310"/>
        <v>-43.955097140217909</v>
      </c>
      <c r="BN333">
        <f t="shared" si="294"/>
        <v>-158.83987137729471</v>
      </c>
      <c r="BQ333" s="56">
        <f t="shared" si="311"/>
        <v>21.201341960150128</v>
      </c>
      <c r="BR333" s="59"/>
      <c r="BS333" s="59"/>
      <c r="BT333" s="59">
        <v>169824.36499999999</v>
      </c>
      <c r="BU333" s="59">
        <v>11.234299999999999</v>
      </c>
      <c r="BV333" s="59">
        <v>-140.114</v>
      </c>
      <c r="BY333" s="59"/>
      <c r="BZ333" s="59"/>
      <c r="CA333" s="59"/>
      <c r="CC333" s="59"/>
    </row>
    <row r="334" spans="1:81" x14ac:dyDescent="0.2">
      <c r="A334">
        <f t="shared" si="263"/>
        <v>600000</v>
      </c>
      <c r="B334">
        <f t="shared" si="295"/>
        <v>600</v>
      </c>
      <c r="C334">
        <f t="shared" si="264"/>
        <v>1.0687012225364441</v>
      </c>
      <c r="D334">
        <f t="shared" si="265"/>
        <v>0.3605151642279863</v>
      </c>
      <c r="F334">
        <f t="shared" si="266"/>
        <v>3.8947135153379254E-4</v>
      </c>
      <c r="G334">
        <f t="shared" si="267"/>
        <v>1.1455923347880309E-2</v>
      </c>
      <c r="H334">
        <f t="shared" si="268"/>
        <v>-3.1301367266521201</v>
      </c>
      <c r="J334">
        <f t="shared" si="269"/>
        <v>15</v>
      </c>
      <c r="M334">
        <f t="shared" si="270"/>
        <v>1.3296152320280401E-3</v>
      </c>
      <c r="N334">
        <f t="shared" si="271"/>
        <v>-1.5707963250000001</v>
      </c>
      <c r="O334">
        <f t="shared" si="272"/>
        <v>67.865769124418179</v>
      </c>
      <c r="P334">
        <f t="shared" si="273"/>
        <v>1.5560608245971059</v>
      </c>
      <c r="Q334">
        <f t="shared" si="274"/>
        <v>71.407612182672764</v>
      </c>
      <c r="R334">
        <f t="shared" si="275"/>
        <v>1.5567917598003793</v>
      </c>
      <c r="S334">
        <f t="shared" si="276"/>
        <v>0.98903934838553886</v>
      </c>
      <c r="T334">
        <f t="shared" si="277"/>
        <v>-0.1481940146682961</v>
      </c>
      <c r="U334">
        <f t="shared" si="278"/>
        <v>0.26962528893459858</v>
      </c>
      <c r="V334">
        <f t="shared" si="279"/>
        <v>-1.2977924386152355</v>
      </c>
      <c r="X334">
        <f t="shared" si="296"/>
        <v>-39.389629111771278</v>
      </c>
      <c r="Y334">
        <f t="shared" si="280"/>
        <v>-153.18323212139944</v>
      </c>
      <c r="Z334">
        <f t="shared" si="297"/>
        <v>26.816767878600558</v>
      </c>
      <c r="AC334">
        <v>1</v>
      </c>
      <c r="AD334">
        <f t="shared" si="281"/>
        <v>67.858401240000006</v>
      </c>
      <c r="AE334">
        <f t="shared" si="282"/>
        <v>-0.25582014549160192</v>
      </c>
      <c r="AF334">
        <f t="shared" si="283"/>
        <v>7.1628312419999993E-2</v>
      </c>
      <c r="AG334">
        <f t="shared" si="298"/>
        <v>65.246775746020205</v>
      </c>
      <c r="AH334">
        <f t="shared" si="299"/>
        <v>-246.98948036733344</v>
      </c>
      <c r="AJ334">
        <f t="shared" si="284"/>
        <v>10500</v>
      </c>
      <c r="AK334">
        <f t="shared" si="285"/>
        <v>1567.5290686440003</v>
      </c>
      <c r="AL334">
        <v>1</v>
      </c>
      <c r="AM334">
        <f t="shared" si="286"/>
        <v>71.400609784728005</v>
      </c>
      <c r="AN334">
        <f t="shared" si="300"/>
        <v>24.008903917267922</v>
      </c>
      <c r="AO334">
        <f t="shared" si="301"/>
        <v>-146.72131131187425</v>
      </c>
      <c r="AQ334">
        <f t="shared" si="287"/>
        <v>6.9444396219169296E-3</v>
      </c>
      <c r="AR334">
        <f t="shared" si="288"/>
        <v>-8.3333275463003158</v>
      </c>
      <c r="AT334">
        <f t="shared" si="261"/>
        <v>-2057.7911380968076</v>
      </c>
      <c r="AU334">
        <f t="shared" si="262"/>
        <v>-545.43795716524914</v>
      </c>
      <c r="AV334">
        <f t="shared" si="302"/>
        <v>-2.8824909344674907</v>
      </c>
      <c r="AW334">
        <f t="shared" si="303"/>
        <v>-1150.5903955725837</v>
      </c>
      <c r="AX334">
        <f t="shared" si="304"/>
        <v>-602.55526893662932</v>
      </c>
      <c r="AY334">
        <f t="shared" si="312"/>
        <v>-2.6591713902993308</v>
      </c>
      <c r="BA334">
        <f t="shared" si="289"/>
        <v>1.6390666318133127</v>
      </c>
      <c r="BB334">
        <f t="shared" si="305"/>
        <v>4.291932179898553</v>
      </c>
      <c r="BC334">
        <f t="shared" si="306"/>
        <v>-0.22331954416815991</v>
      </c>
      <c r="BD334">
        <f t="shared" si="290"/>
        <v>-192.79526737824168</v>
      </c>
      <c r="BF334">
        <f t="shared" si="291"/>
        <v>-39.799606162021107</v>
      </c>
      <c r="BG334">
        <f t="shared" si="292"/>
        <v>-171.48289393490043</v>
      </c>
      <c r="BH334">
        <f t="shared" si="307"/>
        <v>8.5171060650995685</v>
      </c>
      <c r="BI334">
        <f t="shared" si="308"/>
        <v>8.5171060650995685</v>
      </c>
      <c r="BJ334">
        <f t="shared" si="293"/>
        <v>0</v>
      </c>
      <c r="BK334">
        <f t="shared" si="309"/>
        <v>0</v>
      </c>
      <c r="BM334">
        <f t="shared" si="310"/>
        <v>-44.091538341919659</v>
      </c>
      <c r="BN334">
        <f t="shared" si="294"/>
        <v>-158.68762655665878</v>
      </c>
      <c r="BQ334" s="56">
        <f t="shared" si="311"/>
        <v>21.193892980183691</v>
      </c>
      <c r="BR334" s="59"/>
      <c r="BS334" s="59"/>
      <c r="BT334" s="59">
        <v>173780.08300000001</v>
      </c>
      <c r="BU334" s="59">
        <v>11.3918</v>
      </c>
      <c r="BV334" s="59">
        <v>-141.173</v>
      </c>
      <c r="BY334" s="59"/>
      <c r="BZ334" s="59"/>
      <c r="CA334" s="59"/>
      <c r="CC334" s="59"/>
    </row>
    <row r="335" spans="1:81" x14ac:dyDescent="0.2">
      <c r="A335">
        <f t="shared" si="263"/>
        <v>605000</v>
      </c>
      <c r="B335">
        <f t="shared" si="295"/>
        <v>605</v>
      </c>
      <c r="C335">
        <f t="shared" si="264"/>
        <v>1.0698134779979718</v>
      </c>
      <c r="D335">
        <f t="shared" si="265"/>
        <v>0.36326297010130487</v>
      </c>
      <c r="F335">
        <f t="shared" si="266"/>
        <v>3.8305831896683231E-4</v>
      </c>
      <c r="G335">
        <f t="shared" si="267"/>
        <v>1.136118018521442E-2</v>
      </c>
      <c r="H335">
        <f t="shared" si="268"/>
        <v>-3.1302314698147859</v>
      </c>
      <c r="J335">
        <f t="shared" si="269"/>
        <v>15</v>
      </c>
      <c r="M335">
        <f t="shared" si="270"/>
        <v>1.3186266763914446E-3</v>
      </c>
      <c r="N335">
        <f t="shared" si="271"/>
        <v>-1.5707963250000001</v>
      </c>
      <c r="O335">
        <f t="shared" si="272"/>
        <v>68.431194916340431</v>
      </c>
      <c r="P335">
        <f t="shared" si="273"/>
        <v>1.5561825881970432</v>
      </c>
      <c r="Q335">
        <f t="shared" si="274"/>
        <v>72.002559398759601</v>
      </c>
      <c r="R335">
        <f t="shared" si="275"/>
        <v>1.5569074850778597</v>
      </c>
      <c r="S335">
        <f t="shared" si="276"/>
        <v>0.98885896395544604</v>
      </c>
      <c r="T335">
        <f t="shared" si="277"/>
        <v>-0.14941074151332759</v>
      </c>
      <c r="U335">
        <f t="shared" si="278"/>
        <v>0.26755711494175871</v>
      </c>
      <c r="V335">
        <f t="shared" si="279"/>
        <v>-1.2999395087836902</v>
      </c>
      <c r="X335">
        <f t="shared" si="296"/>
        <v>-39.521220065658973</v>
      </c>
      <c r="Y335">
        <f t="shared" si="280"/>
        <v>-153.21034708698065</v>
      </c>
      <c r="Z335">
        <f t="shared" si="297"/>
        <v>26.789652913019353</v>
      </c>
      <c r="AC335">
        <v>1</v>
      </c>
      <c r="AD335">
        <f t="shared" si="281"/>
        <v>68.423887917000002</v>
      </c>
      <c r="AE335">
        <f t="shared" si="282"/>
        <v>-0.26010157987100996</v>
      </c>
      <c r="AF335">
        <f t="shared" si="283"/>
        <v>7.2225215023499989E-2</v>
      </c>
      <c r="AG335">
        <f t="shared" si="298"/>
        <v>64.249657509501972</v>
      </c>
      <c r="AH335">
        <f t="shared" si="299"/>
        <v>-245.22512558294179</v>
      </c>
      <c r="AJ335">
        <f t="shared" si="284"/>
        <v>10500</v>
      </c>
      <c r="AK335">
        <f t="shared" si="285"/>
        <v>1580.5918108827002</v>
      </c>
      <c r="AL335">
        <v>1</v>
      </c>
      <c r="AM335">
        <f t="shared" si="286"/>
        <v>71.995614866267402</v>
      </c>
      <c r="AN335">
        <f t="shared" si="300"/>
        <v>23.975085459155832</v>
      </c>
      <c r="AO335">
        <f t="shared" si="301"/>
        <v>-145.50920822053075</v>
      </c>
      <c r="AQ335">
        <f t="shared" si="287"/>
        <v>6.8301298885800913E-3</v>
      </c>
      <c r="AR335">
        <f t="shared" si="288"/>
        <v>-8.264457165181911</v>
      </c>
      <c r="AT335">
        <f t="shared" si="261"/>
        <v>-2026.2137127004905</v>
      </c>
      <c r="AU335">
        <f t="shared" si="262"/>
        <v>-532.66346182456221</v>
      </c>
      <c r="AV335">
        <f t="shared" si="302"/>
        <v>-2.8845231280836066</v>
      </c>
      <c r="AW335">
        <f t="shared" si="303"/>
        <v>-1131.2371839765992</v>
      </c>
      <c r="AX335">
        <f t="shared" si="304"/>
        <v>-597.48335247198781</v>
      </c>
      <c r="AY335">
        <f t="shared" si="312"/>
        <v>-2.6556653530474263</v>
      </c>
      <c r="BA335">
        <f t="shared" si="289"/>
        <v>1.6376227296947621</v>
      </c>
      <c r="BB335">
        <f t="shared" si="305"/>
        <v>4.2842771513755551</v>
      </c>
      <c r="BC335">
        <f t="shared" si="306"/>
        <v>-0.22885777503618021</v>
      </c>
      <c r="BD335">
        <f t="shared" si="290"/>
        <v>-193.11258463331089</v>
      </c>
      <c r="BF335">
        <f t="shared" si="291"/>
        <v>-39.942438397790781</v>
      </c>
      <c r="BG335">
        <f t="shared" si="292"/>
        <v>-171.64820189369203</v>
      </c>
      <c r="BH335">
        <f t="shared" si="307"/>
        <v>8.3517981063079674</v>
      </c>
      <c r="BI335">
        <f t="shared" si="308"/>
        <v>8.3517981063079674</v>
      </c>
      <c r="BJ335">
        <f t="shared" si="293"/>
        <v>0</v>
      </c>
      <c r="BK335">
        <f t="shared" si="309"/>
        <v>0</v>
      </c>
      <c r="BM335">
        <f t="shared" si="310"/>
        <v>-44.226715549166336</v>
      </c>
      <c r="BN335">
        <f t="shared" si="294"/>
        <v>-158.53561726038114</v>
      </c>
      <c r="BQ335" s="56">
        <f t="shared" si="311"/>
        <v>21.186237951660694</v>
      </c>
      <c r="BR335" s="59"/>
      <c r="BS335" s="59"/>
      <c r="BT335" s="59">
        <v>177827.94099999999</v>
      </c>
      <c r="BU335" s="59">
        <v>11.612500000000001</v>
      </c>
      <c r="BV335" s="59">
        <v>-141.86199999999999</v>
      </c>
      <c r="BY335" s="59"/>
      <c r="BZ335" s="59"/>
      <c r="CA335" s="59"/>
      <c r="CC335" s="59"/>
    </row>
    <row r="336" spans="1:81" x14ac:dyDescent="0.2">
      <c r="A336">
        <f t="shared" si="263"/>
        <v>610000</v>
      </c>
      <c r="B336">
        <f t="shared" si="295"/>
        <v>610</v>
      </c>
      <c r="C336">
        <f t="shared" si="264"/>
        <v>1.0709337942048986</v>
      </c>
      <c r="D336">
        <f t="shared" si="265"/>
        <v>0.36600504761964192</v>
      </c>
      <c r="F336">
        <f t="shared" si="266"/>
        <v>3.7680240418356593E-4</v>
      </c>
      <c r="G336">
        <f t="shared" si="267"/>
        <v>1.1267991795510199E-2</v>
      </c>
      <c r="H336">
        <f t="shared" si="268"/>
        <v>-3.1303246582044899</v>
      </c>
      <c r="J336">
        <f t="shared" si="269"/>
        <v>15</v>
      </c>
      <c r="M336">
        <f t="shared" si="270"/>
        <v>1.3078182610111869E-3</v>
      </c>
      <c r="N336">
        <f t="shared" si="271"/>
        <v>-1.5707963250000001</v>
      </c>
      <c r="O336">
        <f t="shared" si="272"/>
        <v>68.996621706220168</v>
      </c>
      <c r="P336">
        <f t="shared" si="273"/>
        <v>1.5563023560951821</v>
      </c>
      <c r="Q336">
        <f t="shared" si="274"/>
        <v>72.597507563324285</v>
      </c>
      <c r="R336">
        <f t="shared" si="275"/>
        <v>1.557021313582595</v>
      </c>
      <c r="S336">
        <f t="shared" si="276"/>
        <v>0.98867718245185243</v>
      </c>
      <c r="T336">
        <f t="shared" si="277"/>
        <v>-0.15062702281771206</v>
      </c>
      <c r="U336">
        <f t="shared" si="278"/>
        <v>0.26551923128357047</v>
      </c>
      <c r="V336">
        <f t="shared" si="279"/>
        <v>-1.3020538816960145</v>
      </c>
      <c r="X336">
        <f t="shared" si="296"/>
        <v>-39.651700492473296</v>
      </c>
      <c r="Y336">
        <f t="shared" si="280"/>
        <v>-153.23602526118194</v>
      </c>
      <c r="Z336">
        <f t="shared" si="297"/>
        <v>26.763974738818064</v>
      </c>
      <c r="AC336">
        <v>1</v>
      </c>
      <c r="AD336">
        <f t="shared" si="281"/>
        <v>68.989374594000012</v>
      </c>
      <c r="AE336">
        <f t="shared" si="282"/>
        <v>-0.26441854482618077</v>
      </c>
      <c r="AF336">
        <f t="shared" si="283"/>
        <v>7.2822117626999999E-2</v>
      </c>
      <c r="AG336">
        <f t="shared" si="298"/>
        <v>63.274653038170314</v>
      </c>
      <c r="AH336">
        <f t="shared" si="299"/>
        <v>-243.48360441197079</v>
      </c>
      <c r="AJ336">
        <f t="shared" si="284"/>
        <v>10500</v>
      </c>
      <c r="AK336">
        <f t="shared" si="285"/>
        <v>1593.6545531214001</v>
      </c>
      <c r="AL336">
        <v>1</v>
      </c>
      <c r="AM336">
        <f t="shared" si="286"/>
        <v>72.590619947806815</v>
      </c>
      <c r="AN336">
        <f t="shared" si="300"/>
        <v>23.942094979166061</v>
      </c>
      <c r="AO336">
        <f t="shared" si="301"/>
        <v>-144.31696426553728</v>
      </c>
      <c r="AQ336">
        <f t="shared" si="287"/>
        <v>6.7186195118116689E-3</v>
      </c>
      <c r="AR336">
        <f t="shared" si="288"/>
        <v>-8.1967158044102355</v>
      </c>
      <c r="AT336">
        <f t="shared" si="261"/>
        <v>-1995.3407900798654</v>
      </c>
      <c r="AU336">
        <f t="shared" si="262"/>
        <v>-520.28022227195322</v>
      </c>
      <c r="AV336">
        <f t="shared" si="302"/>
        <v>-2.8865245072430472</v>
      </c>
      <c r="AW336">
        <f t="shared" si="303"/>
        <v>-1112.3594794381961</v>
      </c>
      <c r="AX336">
        <f t="shared" si="304"/>
        <v>-592.49728446799179</v>
      </c>
      <c r="AY336">
        <f t="shared" si="312"/>
        <v>-2.6521681800782191</v>
      </c>
      <c r="BA336">
        <f t="shared" si="289"/>
        <v>1.6361422070171459</v>
      </c>
      <c r="BB336">
        <f t="shared" si="305"/>
        <v>4.2764209627305467</v>
      </c>
      <c r="BC336">
        <f t="shared" si="306"/>
        <v>-0.23435632716482813</v>
      </c>
      <c r="BD336">
        <f t="shared" si="290"/>
        <v>-193.42762846407507</v>
      </c>
      <c r="BF336">
        <f t="shared" si="291"/>
        <v>-40.084228087220197</v>
      </c>
      <c r="BG336">
        <f t="shared" si="292"/>
        <v>-171.81147555681403</v>
      </c>
      <c r="BH336">
        <f t="shared" si="307"/>
        <v>8.1885244431859689</v>
      </c>
      <c r="BI336">
        <f t="shared" si="308"/>
        <v>8.1885244431859689</v>
      </c>
      <c r="BJ336">
        <f t="shared" si="293"/>
        <v>0</v>
      </c>
      <c r="BK336">
        <f t="shared" si="309"/>
        <v>0</v>
      </c>
      <c r="BM336">
        <f t="shared" si="310"/>
        <v>-44.360649049950737</v>
      </c>
      <c r="BN336">
        <f t="shared" si="294"/>
        <v>-158.38384709273896</v>
      </c>
      <c r="BQ336" s="56">
        <f t="shared" si="311"/>
        <v>21.178381763015683</v>
      </c>
      <c r="BR336" s="59"/>
      <c r="BS336" s="59"/>
      <c r="BT336" s="59">
        <v>181970.08600000001</v>
      </c>
      <c r="BU336" s="59">
        <v>11.8933</v>
      </c>
      <c r="BV336" s="59">
        <v>-143.41399999999999</v>
      </c>
      <c r="BY336" s="59"/>
      <c r="BZ336" s="59"/>
      <c r="CA336" s="59"/>
      <c r="CC336" s="59"/>
    </row>
    <row r="337" spans="1:81" x14ac:dyDescent="0.2">
      <c r="A337">
        <f t="shared" si="263"/>
        <v>615000</v>
      </c>
      <c r="B337">
        <f t="shared" si="295"/>
        <v>615</v>
      </c>
      <c r="C337">
        <f t="shared" si="264"/>
        <v>1.0720621458865345</v>
      </c>
      <c r="D337">
        <f t="shared" si="265"/>
        <v>0.36874137357115749</v>
      </c>
      <c r="F337">
        <f t="shared" si="266"/>
        <v>3.7069851579160261E-4</v>
      </c>
      <c r="G337">
        <f t="shared" si="267"/>
        <v>1.1176320205846978E-2</v>
      </c>
      <c r="H337">
        <f t="shared" si="268"/>
        <v>-3.1304163297941532</v>
      </c>
      <c r="J337">
        <f t="shared" si="269"/>
        <v>15</v>
      </c>
      <c r="M337">
        <f t="shared" si="270"/>
        <v>1.2971855922224781E-3</v>
      </c>
      <c r="N337">
        <f t="shared" si="271"/>
        <v>-1.5707963250000001</v>
      </c>
      <c r="O337">
        <f t="shared" si="272"/>
        <v>69.562049469722027</v>
      </c>
      <c r="P337">
        <f t="shared" si="273"/>
        <v>1.556420176953597</v>
      </c>
      <c r="Q337">
        <f t="shared" si="274"/>
        <v>73.192456653237599</v>
      </c>
      <c r="R337">
        <f t="shared" si="275"/>
        <v>1.5571332915656779</v>
      </c>
      <c r="S337">
        <f t="shared" si="276"/>
        <v>0.98849400625813477</v>
      </c>
      <c r="T337">
        <f t="shared" si="277"/>
        <v>-0.15184285522952534</v>
      </c>
      <c r="U337">
        <f t="shared" si="278"/>
        <v>0.26351100511617359</v>
      </c>
      <c r="V337">
        <f t="shared" si="279"/>
        <v>-1.304136280136353</v>
      </c>
      <c r="X337">
        <f t="shared" si="296"/>
        <v>-39.781086498981779</v>
      </c>
      <c r="Y337">
        <f t="shared" si="280"/>
        <v>-153.26030593193801</v>
      </c>
      <c r="Z337">
        <f t="shared" si="297"/>
        <v>26.739694068061993</v>
      </c>
      <c r="AC337">
        <v>1</v>
      </c>
      <c r="AD337">
        <f t="shared" si="281"/>
        <v>69.554861271000007</v>
      </c>
      <c r="AE337">
        <f t="shared" si="282"/>
        <v>-0.2687710403571143</v>
      </c>
      <c r="AF337">
        <f t="shared" si="283"/>
        <v>7.3419020230499996E-2</v>
      </c>
      <c r="AG337">
        <f t="shared" si="298"/>
        <v>62.321130583980249</v>
      </c>
      <c r="AH337">
        <f t="shared" si="299"/>
        <v>-241.76453250889512</v>
      </c>
      <c r="AJ337">
        <f t="shared" si="284"/>
        <v>10500</v>
      </c>
      <c r="AK337">
        <f t="shared" si="285"/>
        <v>1606.7172953601003</v>
      </c>
      <c r="AL337">
        <v>1</v>
      </c>
      <c r="AM337">
        <f t="shared" si="286"/>
        <v>73.185625029346213</v>
      </c>
      <c r="AN337">
        <f t="shared" si="300"/>
        <v>23.909905669350373</v>
      </c>
      <c r="AO337">
        <f t="shared" si="301"/>
        <v>-143.14409544401531</v>
      </c>
      <c r="AQ337">
        <f t="shared" si="287"/>
        <v>6.6098178268108754E-3</v>
      </c>
      <c r="AR337">
        <f t="shared" si="288"/>
        <v>-8.1300759269773764</v>
      </c>
      <c r="AT337">
        <f t="shared" si="261"/>
        <v>-1965.1520744275865</v>
      </c>
      <c r="AU337">
        <f t="shared" si="262"/>
        <v>-508.27354301969928</v>
      </c>
      <c r="AV337">
        <f t="shared" si="302"/>
        <v>-2.8884957488215957</v>
      </c>
      <c r="AW337">
        <f t="shared" si="303"/>
        <v>-1093.9418245657598</v>
      </c>
      <c r="AX337">
        <f t="shared" si="304"/>
        <v>-587.59486736095164</v>
      </c>
      <c r="AY337">
        <f t="shared" si="312"/>
        <v>-2.6486799238185998</v>
      </c>
      <c r="BA337">
        <f t="shared" si="289"/>
        <v>1.6346260559720867</v>
      </c>
      <c r="BB337">
        <f t="shared" si="305"/>
        <v>4.2683683460139941</v>
      </c>
      <c r="BC337">
        <f t="shared" si="306"/>
        <v>-0.23981582500299581</v>
      </c>
      <c r="BD337">
        <f t="shared" si="290"/>
        <v>-193.74043464882033</v>
      </c>
      <c r="BF337">
        <f t="shared" si="291"/>
        <v>-40.224990298765057</v>
      </c>
      <c r="BG337">
        <f t="shared" si="292"/>
        <v>-171.97275420818113</v>
      </c>
      <c r="BH337">
        <f t="shared" si="307"/>
        <v>8.0272457918188707</v>
      </c>
      <c r="BI337">
        <f t="shared" si="308"/>
        <v>8.0272457918188707</v>
      </c>
      <c r="BJ337">
        <f t="shared" si="293"/>
        <v>0</v>
      </c>
      <c r="BK337">
        <f t="shared" si="309"/>
        <v>0</v>
      </c>
      <c r="BM337">
        <f t="shared" si="310"/>
        <v>-44.49335864477905</v>
      </c>
      <c r="BN337">
        <f t="shared" si="294"/>
        <v>-158.2323195593608</v>
      </c>
      <c r="BQ337" s="56">
        <f t="shared" si="311"/>
        <v>21.170329146299132</v>
      </c>
      <c r="BR337" s="59"/>
      <c r="BS337" s="59"/>
      <c r="BT337" s="59">
        <v>186208.71400000001</v>
      </c>
      <c r="BU337" s="59">
        <v>12.027799999999999</v>
      </c>
      <c r="BV337" s="59">
        <v>-144.279</v>
      </c>
      <c r="BY337" s="59"/>
      <c r="BZ337" s="59"/>
      <c r="CA337" s="59"/>
      <c r="CC337" s="59"/>
    </row>
    <row r="338" spans="1:81" x14ac:dyDescent="0.2">
      <c r="A338">
        <f t="shared" si="263"/>
        <v>620000</v>
      </c>
      <c r="B338">
        <f t="shared" si="295"/>
        <v>620</v>
      </c>
      <c r="C338">
        <f t="shared" si="264"/>
        <v>1.0731985076975923</v>
      </c>
      <c r="D338">
        <f t="shared" si="265"/>
        <v>0.37147192518579486</v>
      </c>
      <c r="F338">
        <f t="shared" si="266"/>
        <v>3.6474176699393546E-4</v>
      </c>
      <c r="G338">
        <f t="shared" si="267"/>
        <v>1.1086128670294879E-2</v>
      </c>
      <c r="H338">
        <f t="shared" si="268"/>
        <v>-3.1305065213297052</v>
      </c>
      <c r="J338">
        <f t="shared" si="269"/>
        <v>15</v>
      </c>
      <c r="M338">
        <f t="shared" si="270"/>
        <v>1.2867244180916517E-3</v>
      </c>
      <c r="N338">
        <f t="shared" si="271"/>
        <v>-1.5707963250000001</v>
      </c>
      <c r="O338">
        <f t="shared" si="272"/>
        <v>70.127478183295494</v>
      </c>
      <c r="P338">
        <f t="shared" si="273"/>
        <v>1.5565360978651592</v>
      </c>
      <c r="Q338">
        <f t="shared" si="274"/>
        <v>73.787406646116239</v>
      </c>
      <c r="R338">
        <f t="shared" si="275"/>
        <v>1.5572434637866943</v>
      </c>
      <c r="S338">
        <f t="shared" si="276"/>
        <v>0.98830943777356972</v>
      </c>
      <c r="T338">
        <f t="shared" si="277"/>
        <v>-0.15305823540462549</v>
      </c>
      <c r="U338">
        <f t="shared" si="278"/>
        <v>0.26153182023080623</v>
      </c>
      <c r="V338">
        <f t="shared" si="279"/>
        <v>-1.3061874063021732</v>
      </c>
      <c r="X338">
        <f t="shared" si="296"/>
        <v>-39.909393857817911</v>
      </c>
      <c r="Y338">
        <f t="shared" si="280"/>
        <v>-153.28322728785162</v>
      </c>
      <c r="Z338">
        <f t="shared" si="297"/>
        <v>26.716772712148384</v>
      </c>
      <c r="AC338">
        <v>1</v>
      </c>
      <c r="AD338">
        <f t="shared" si="281"/>
        <v>70.120347948000003</v>
      </c>
      <c r="AE338">
        <f t="shared" si="282"/>
        <v>-0.2731590664638105</v>
      </c>
      <c r="AF338">
        <f t="shared" si="283"/>
        <v>7.4015922833999992E-2</v>
      </c>
      <c r="AG338">
        <f t="shared" si="298"/>
        <v>61.388480137976003</v>
      </c>
      <c r="AH338">
        <f t="shared" si="299"/>
        <v>-240.06753203595005</v>
      </c>
      <c r="AJ338">
        <f t="shared" si="284"/>
        <v>10500</v>
      </c>
      <c r="AK338">
        <f t="shared" si="285"/>
        <v>1619.7800375988002</v>
      </c>
      <c r="AL338">
        <v>1</v>
      </c>
      <c r="AM338">
        <f t="shared" si="286"/>
        <v>73.78063011088561</v>
      </c>
      <c r="AN338">
        <f t="shared" si="300"/>
        <v>23.878491797949071</v>
      </c>
      <c r="AO338">
        <f t="shared" si="301"/>
        <v>-141.99013335149604</v>
      </c>
      <c r="AQ338">
        <f t="shared" si="287"/>
        <v>6.5036378098089166E-3</v>
      </c>
      <c r="AR338">
        <f t="shared" si="288"/>
        <v>-8.0645108841630559</v>
      </c>
      <c r="AT338">
        <f t="shared" si="261"/>
        <v>-1935.6279765975703</v>
      </c>
      <c r="AU338">
        <f t="shared" si="262"/>
        <v>-496.62937851319157</v>
      </c>
      <c r="AV338">
        <f t="shared" si="302"/>
        <v>-2.890437510588733</v>
      </c>
      <c r="AW338">
        <f t="shared" si="303"/>
        <v>-1075.969385142723</v>
      </c>
      <c r="AX338">
        <f t="shared" si="304"/>
        <v>-582.77397932714484</v>
      </c>
      <c r="AY338">
        <f t="shared" si="312"/>
        <v>-2.6452006344270824</v>
      </c>
      <c r="BA338">
        <f t="shared" si="289"/>
        <v>1.633075239672092</v>
      </c>
      <c r="BB338">
        <f t="shared" si="305"/>
        <v>4.2601238836086059</v>
      </c>
      <c r="BC338">
        <f t="shared" si="306"/>
        <v>-0.24523687616165057</v>
      </c>
      <c r="BD338">
        <f t="shared" si="290"/>
        <v>-194.05103800109066</v>
      </c>
      <c r="BF338">
        <f t="shared" si="291"/>
        <v>-40.364739778847607</v>
      </c>
      <c r="BG338">
        <f t="shared" si="292"/>
        <v>-172.1320760713522</v>
      </c>
      <c r="BH338">
        <f t="shared" si="307"/>
        <v>7.867923928647798</v>
      </c>
      <c r="BI338">
        <f t="shared" si="308"/>
        <v>7.867923928647798</v>
      </c>
      <c r="BJ338">
        <f t="shared" si="293"/>
        <v>0</v>
      </c>
      <c r="BK338">
        <f t="shared" si="309"/>
        <v>0</v>
      </c>
      <c r="BM338">
        <f t="shared" si="310"/>
        <v>-44.624863662456207</v>
      </c>
      <c r="BN338">
        <f t="shared" si="294"/>
        <v>-158.08103807026154</v>
      </c>
      <c r="BQ338" s="56">
        <f t="shared" si="311"/>
        <v>21.162084683893742</v>
      </c>
      <c r="BR338" s="59"/>
      <c r="BS338" s="59"/>
      <c r="BT338" s="59">
        <v>190546.07199999999</v>
      </c>
      <c r="BU338" s="59">
        <v>12.182600000000001</v>
      </c>
      <c r="BV338" s="59">
        <v>-145.40799999999999</v>
      </c>
      <c r="BY338" s="59"/>
      <c r="BZ338" s="59"/>
      <c r="CA338" s="59"/>
      <c r="CC338" s="59"/>
    </row>
    <row r="339" spans="1:81" x14ac:dyDescent="0.2">
      <c r="A339">
        <f t="shared" si="263"/>
        <v>625000</v>
      </c>
      <c r="B339">
        <f t="shared" si="295"/>
        <v>625</v>
      </c>
      <c r="C339">
        <f t="shared" si="264"/>
        <v>1.0743428542204738</v>
      </c>
      <c r="D339">
        <f t="shared" si="265"/>
        <v>0.37419668013391416</v>
      </c>
      <c r="F339">
        <f t="shared" si="266"/>
        <v>3.5892746580077473E-4</v>
      </c>
      <c r="G339">
        <f t="shared" si="267"/>
        <v>1.0997381620737514E-2</v>
      </c>
      <c r="H339">
        <f t="shared" si="268"/>
        <v>-3.1305952683792628</v>
      </c>
      <c r="J339">
        <f t="shared" si="269"/>
        <v>15</v>
      </c>
      <c r="M339">
        <f t="shared" si="270"/>
        <v>1.2764306227469185E-3</v>
      </c>
      <c r="N339">
        <f t="shared" si="271"/>
        <v>-1.5707963250000001</v>
      </c>
      <c r="O339">
        <f t="shared" si="272"/>
        <v>70.692907824143489</v>
      </c>
      <c r="P339">
        <f t="shared" si="273"/>
        <v>1.5566501644162785</v>
      </c>
      <c r="Q339">
        <f t="shared" si="274"/>
        <v>74.382357520292985</v>
      </c>
      <c r="R339">
        <f t="shared" si="275"/>
        <v>1.557351873573362</v>
      </c>
      <c r="S339">
        <f t="shared" si="276"/>
        <v>0.98812347941324996</v>
      </c>
      <c r="T339">
        <f t="shared" si="277"/>
        <v>-0.15427316000670208</v>
      </c>
      <c r="U339">
        <f t="shared" si="278"/>
        <v>0.25958107654571283</v>
      </c>
      <c r="V339">
        <f t="shared" si="279"/>
        <v>-1.3082079425107744</v>
      </c>
      <c r="X339">
        <f t="shared" si="296"/>
        <v>-40.036638016565753</v>
      </c>
      <c r="Y339">
        <f t="shared" si="280"/>
        <v>-153.30482645456064</v>
      </c>
      <c r="Z339">
        <f t="shared" si="297"/>
        <v>26.69517354543936</v>
      </c>
      <c r="AC339">
        <v>1</v>
      </c>
      <c r="AD339">
        <f t="shared" si="281"/>
        <v>70.685834624999998</v>
      </c>
      <c r="AE339">
        <f t="shared" si="282"/>
        <v>-0.27758262314626947</v>
      </c>
      <c r="AF339">
        <f t="shared" si="283"/>
        <v>7.4612825437499988E-2</v>
      </c>
      <c r="AG339">
        <f t="shared" si="298"/>
        <v>60.47611256898751</v>
      </c>
      <c r="AH339">
        <f t="shared" si="299"/>
        <v>-238.39223163433408</v>
      </c>
      <c r="AJ339">
        <f t="shared" si="284"/>
        <v>10500</v>
      </c>
      <c r="AK339">
        <f t="shared" si="285"/>
        <v>1632.8427798375001</v>
      </c>
      <c r="AL339">
        <v>1</v>
      </c>
      <c r="AM339">
        <f t="shared" si="286"/>
        <v>74.375635192425008</v>
      </c>
      <c r="AN339">
        <f t="shared" si="300"/>
        <v>23.84782865796382</v>
      </c>
      <c r="AO339">
        <f t="shared" si="301"/>
        <v>-140.85462455867548</v>
      </c>
      <c r="AQ339">
        <f t="shared" si="287"/>
        <v>6.3999959040026214E-3</v>
      </c>
      <c r="AR339">
        <f t="shared" si="288"/>
        <v>-7.9999948800032765</v>
      </c>
      <c r="AT339">
        <f t="shared" si="261"/>
        <v>-1906.7495856344963</v>
      </c>
      <c r="AU339">
        <f t="shared" si="262"/>
        <v>-485.33430022040767</v>
      </c>
      <c r="AV339">
        <f t="shared" si="302"/>
        <v>-2.8923504318549558</v>
      </c>
      <c r="AW339">
        <f t="shared" si="303"/>
        <v>-1058.4279202185628</v>
      </c>
      <c r="AX339">
        <f t="shared" si="304"/>
        <v>-578.03257098818995</v>
      </c>
      <c r="AY339">
        <f t="shared" si="312"/>
        <v>-2.6417303598686486</v>
      </c>
      <c r="BA339">
        <f t="shared" si="289"/>
        <v>1.6314906932821394</v>
      </c>
      <c r="BB339">
        <f t="shared" si="305"/>
        <v>4.2516920146048776</v>
      </c>
      <c r="BC339">
        <f t="shared" si="306"/>
        <v>-0.2506200719863072</v>
      </c>
      <c r="BD339">
        <f t="shared" si="290"/>
        <v>-194.35947240248836</v>
      </c>
      <c r="BF339">
        <f t="shared" si="291"/>
        <v>-40.503490960629861</v>
      </c>
      <c r="BG339">
        <f t="shared" si="292"/>
        <v>-172.2894783452266</v>
      </c>
      <c r="BH339">
        <f t="shared" si="307"/>
        <v>7.7105216547734017</v>
      </c>
      <c r="BI339">
        <f t="shared" si="308"/>
        <v>7.7105216547734017</v>
      </c>
      <c r="BJ339">
        <f t="shared" si="293"/>
        <v>0</v>
      </c>
      <c r="BK339">
        <f t="shared" si="309"/>
        <v>0</v>
      </c>
      <c r="BM339">
        <f t="shared" si="310"/>
        <v>-44.755182975234732</v>
      </c>
      <c r="BN339">
        <f t="shared" si="294"/>
        <v>-157.93000594273823</v>
      </c>
      <c r="BQ339" s="56">
        <f t="shared" si="311"/>
        <v>21.153652814890016</v>
      </c>
      <c r="BR339" s="59"/>
      <c r="BS339" s="59"/>
      <c r="BT339" s="59">
        <v>194984.46</v>
      </c>
      <c r="BU339" s="59">
        <v>12.458399999999999</v>
      </c>
      <c r="BV339" s="59">
        <v>-146.886</v>
      </c>
      <c r="BY339" s="59"/>
      <c r="BZ339" s="59"/>
      <c r="CA339" s="59"/>
      <c r="CC339" s="59"/>
    </row>
    <row r="340" spans="1:81" x14ac:dyDescent="0.2">
      <c r="A340">
        <f t="shared" si="263"/>
        <v>630000</v>
      </c>
      <c r="B340">
        <f t="shared" si="295"/>
        <v>630</v>
      </c>
      <c r="C340">
        <f t="shared" si="264"/>
        <v>1.0754951599675409</v>
      </c>
      <c r="D340">
        <f t="shared" si="265"/>
        <v>0.37691561652486399</v>
      </c>
      <c r="F340">
        <f t="shared" si="266"/>
        <v>3.5325110578343817E-4</v>
      </c>
      <c r="G340">
        <f t="shared" si="267"/>
        <v>1.0910044620041854E-2</v>
      </c>
      <c r="H340">
        <f t="shared" si="268"/>
        <v>-3.1306826053799583</v>
      </c>
      <c r="J340">
        <f t="shared" si="269"/>
        <v>15</v>
      </c>
      <c r="M340">
        <f t="shared" si="270"/>
        <v>1.2663002209790857E-3</v>
      </c>
      <c r="N340">
        <f t="shared" si="271"/>
        <v>-1.5707963250000001</v>
      </c>
      <c r="O340">
        <f t="shared" si="272"/>
        <v>71.258338370192433</v>
      </c>
      <c r="P340">
        <f t="shared" si="273"/>
        <v>1.5567624207466597</v>
      </c>
      <c r="Q340">
        <f t="shared" si="274"/>
        <v>74.977309254788366</v>
      </c>
      <c r="R340">
        <f t="shared" si="275"/>
        <v>1.5574585628783302</v>
      </c>
      <c r="S340">
        <f t="shared" si="276"/>
        <v>0.98793613360799859</v>
      </c>
      <c r="T340">
        <f t="shared" si="277"/>
        <v>-0.1554876257073248</v>
      </c>
      <c r="U340">
        <f t="shared" si="278"/>
        <v>0.25765818961483128</v>
      </c>
      <c r="V340">
        <f t="shared" si="279"/>
        <v>-1.3101985518778649</v>
      </c>
      <c r="X340">
        <f t="shared" si="296"/>
        <v>-40.162834106544466</v>
      </c>
      <c r="Y340">
        <f t="shared" si="280"/>
        <v>-153.32513952970731</v>
      </c>
      <c r="Z340">
        <f t="shared" si="297"/>
        <v>26.674860470292685</v>
      </c>
      <c r="AC340">
        <v>1</v>
      </c>
      <c r="AD340">
        <f t="shared" si="281"/>
        <v>71.251321302000008</v>
      </c>
      <c r="AE340">
        <f t="shared" si="282"/>
        <v>-0.28204171040449111</v>
      </c>
      <c r="AF340">
        <f t="shared" si="283"/>
        <v>7.5209728040999999E-2</v>
      </c>
      <c r="AG340">
        <f t="shared" si="298"/>
        <v>59.583458800254604</v>
      </c>
      <c r="AH340">
        <f t="shared" si="299"/>
        <v>-236.738266386671</v>
      </c>
      <c r="AJ340">
        <f t="shared" si="284"/>
        <v>10500</v>
      </c>
      <c r="AK340">
        <f t="shared" si="285"/>
        <v>1645.9055220762002</v>
      </c>
      <c r="AL340">
        <v>1</v>
      </c>
      <c r="AM340">
        <f t="shared" si="286"/>
        <v>74.970640273964406</v>
      </c>
      <c r="AN340">
        <f t="shared" si="300"/>
        <v>23.817892518574677</v>
      </c>
      <c r="AO340">
        <f t="shared" si="301"/>
        <v>-139.73713001780996</v>
      </c>
      <c r="AQ340">
        <f t="shared" si="287"/>
        <v>6.2988118551197689E-3</v>
      </c>
      <c r="AR340">
        <f t="shared" si="288"/>
        <v>-7.9365029374509088</v>
      </c>
      <c r="AT340">
        <f t="shared" si="261"/>
        <v>-1878.4986415881899</v>
      </c>
      <c r="AU340">
        <f t="shared" si="262"/>
        <v>-474.37546559058273</v>
      </c>
      <c r="AV340">
        <f t="shared" si="302"/>
        <v>-2.8942351340939827</v>
      </c>
      <c r="AW340">
        <f t="shared" si="303"/>
        <v>-1041.303753861057</v>
      </c>
      <c r="AX340">
        <f t="shared" si="304"/>
        <v>-573.36866228975225</v>
      </c>
      <c r="AY340">
        <f t="shared" si="312"/>
        <v>-2.6382691459859773</v>
      </c>
      <c r="BA340">
        <f t="shared" si="289"/>
        <v>1.6298733250979902</v>
      </c>
      <c r="BB340">
        <f t="shared" si="305"/>
        <v>4.2430770408551721</v>
      </c>
      <c r="BC340">
        <f t="shared" si="306"/>
        <v>-0.25596598810800542</v>
      </c>
      <c r="BD340">
        <f t="shared" si="290"/>
        <v>-194.66577083424261</v>
      </c>
      <c r="BF340">
        <f t="shared" si="291"/>
        <v>-40.641257972502345</v>
      </c>
      <c r="BG340">
        <f t="shared" si="292"/>
        <v>-172.44499723837777</v>
      </c>
      <c r="BH340">
        <f t="shared" si="307"/>
        <v>7.5550027616222337</v>
      </c>
      <c r="BI340">
        <f t="shared" si="308"/>
        <v>7.5550027616222337</v>
      </c>
      <c r="BJ340">
        <f t="shared" si="293"/>
        <v>0</v>
      </c>
      <c r="BK340">
        <f t="shared" si="309"/>
        <v>0</v>
      </c>
      <c r="BM340">
        <f t="shared" si="310"/>
        <v>-44.884335013357514</v>
      </c>
      <c r="BN340">
        <f t="shared" si="294"/>
        <v>-157.77922640413516</v>
      </c>
      <c r="BQ340" s="56">
        <f t="shared" si="311"/>
        <v>21.145037841140311</v>
      </c>
      <c r="BR340" s="59"/>
      <c r="BS340" s="59"/>
      <c r="BT340" s="59">
        <v>199526.231</v>
      </c>
      <c r="BU340" s="59">
        <v>12.6511</v>
      </c>
      <c r="BV340" s="59">
        <v>-147.23699999999999</v>
      </c>
      <c r="BY340" s="59"/>
      <c r="BZ340" s="59"/>
      <c r="CA340" s="59"/>
      <c r="CC340" s="59"/>
    </row>
    <row r="341" spans="1:81" x14ac:dyDescent="0.2">
      <c r="A341">
        <f t="shared" si="263"/>
        <v>635000</v>
      </c>
      <c r="B341">
        <f t="shared" si="295"/>
        <v>635</v>
      </c>
      <c r="C341">
        <f t="shared" si="264"/>
        <v>1.0766553993833752</v>
      </c>
      <c r="D341">
        <f t="shared" si="265"/>
        <v>0.37962871290549394</v>
      </c>
      <c r="F341">
        <f t="shared" si="266"/>
        <v>3.4770835733625858E-4</v>
      </c>
      <c r="G341">
        <f t="shared" si="267"/>
        <v>1.0824084317445498E-2</v>
      </c>
      <c r="H341">
        <f t="shared" si="268"/>
        <v>-3.1307685656825548</v>
      </c>
      <c r="J341">
        <f t="shared" si="269"/>
        <v>15</v>
      </c>
      <c r="M341">
        <f t="shared" si="270"/>
        <v>1.2563293530973606E-3</v>
      </c>
      <c r="N341">
        <f t="shared" si="271"/>
        <v>-1.5707963250000001</v>
      </c>
      <c r="O341">
        <f t="shared" si="272"/>
        <v>71.823769800063801</v>
      </c>
      <c r="P341">
        <f t="shared" si="273"/>
        <v>1.5568729096062377</v>
      </c>
      <c r="Q341">
        <f t="shared" si="274"/>
        <v>75.572261829283462</v>
      </c>
      <c r="R341">
        <f t="shared" si="275"/>
        <v>1.5575635723332966</v>
      </c>
      <c r="S341">
        <f t="shared" si="276"/>
        <v>0.9877474028042843</v>
      </c>
      <c r="T341">
        <f t="shared" si="277"/>
        <v>-0.15670162918599215</v>
      </c>
      <c r="U341">
        <f t="shared" si="278"/>
        <v>0.25576259015272107</v>
      </c>
      <c r="V341">
        <f t="shared" si="279"/>
        <v>-1.3121598789694422</v>
      </c>
      <c r="X341">
        <f t="shared" si="296"/>
        <v>-40.287996951304159</v>
      </c>
      <c r="Y341">
        <f t="shared" si="280"/>
        <v>-153.34420161656951</v>
      </c>
      <c r="Z341">
        <f t="shared" si="297"/>
        <v>26.655798383430493</v>
      </c>
      <c r="AC341">
        <v>1</v>
      </c>
      <c r="AD341">
        <f t="shared" si="281"/>
        <v>71.816807979000004</v>
      </c>
      <c r="AE341">
        <f t="shared" si="282"/>
        <v>-0.28653632823847547</v>
      </c>
      <c r="AF341">
        <f t="shared" si="283"/>
        <v>7.5806630644499995E-2</v>
      </c>
      <c r="AG341">
        <f t="shared" si="298"/>
        <v>58.709969022182051</v>
      </c>
      <c r="AH341">
        <f t="shared" si="299"/>
        <v>-235.10527777168474</v>
      </c>
      <c r="AJ341">
        <f t="shared" si="284"/>
        <v>10500</v>
      </c>
      <c r="AK341">
        <f t="shared" si="285"/>
        <v>1658.9682643149001</v>
      </c>
      <c r="AL341">
        <v>1</v>
      </c>
      <c r="AM341">
        <f t="shared" si="286"/>
        <v>75.565645355503818</v>
      </c>
      <c r="AN341">
        <f t="shared" si="300"/>
        <v>23.78866057922302</v>
      </c>
      <c r="AO341">
        <f t="shared" si="301"/>
        <v>-138.63722449712054</v>
      </c>
      <c r="AQ341">
        <f t="shared" si="287"/>
        <v>6.2000085560118077E-3</v>
      </c>
      <c r="AR341">
        <f t="shared" si="288"/>
        <v>-7.874010866134995</v>
      </c>
      <c r="AT341">
        <f t="shared" si="261"/>
        <v>-1850.8575095496712</v>
      </c>
      <c r="AU341">
        <f t="shared" si="262"/>
        <v>-463.74058876485839</v>
      </c>
      <c r="AV341">
        <f t="shared" si="302"/>
        <v>-2.8960922215409242</v>
      </c>
      <c r="AW341">
        <f t="shared" si="303"/>
        <v>-1024.5837484651943</v>
      </c>
      <c r="AX341">
        <f t="shared" si="304"/>
        <v>-568.78033954288935</v>
      </c>
      <c r="AY341">
        <f t="shared" si="312"/>
        <v>-2.6348170365672812</v>
      </c>
      <c r="BA341">
        <f t="shared" si="289"/>
        <v>1.6282240175740073</v>
      </c>
      <c r="BB341">
        <f t="shared" si="305"/>
        <v>4.2342831327244319</v>
      </c>
      <c r="BC341">
        <f t="shared" si="306"/>
        <v>-0.26127518497364299</v>
      </c>
      <c r="BD341">
        <f t="shared" si="290"/>
        <v>-194.96996540759534</v>
      </c>
      <c r="BF341">
        <f t="shared" si="291"/>
        <v>-40.778054646298976</v>
      </c>
      <c r="BG341">
        <f t="shared" si="292"/>
        <v>-172.59866800208061</v>
      </c>
      <c r="BH341">
        <f t="shared" si="307"/>
        <v>7.4013319979193852</v>
      </c>
      <c r="BI341">
        <f t="shared" si="308"/>
        <v>7.4013319979193852</v>
      </c>
      <c r="BJ341">
        <f t="shared" si="293"/>
        <v>0</v>
      </c>
      <c r="BK341">
        <f t="shared" si="309"/>
        <v>0</v>
      </c>
      <c r="BM341">
        <f t="shared" si="310"/>
        <v>-45.012337779023412</v>
      </c>
      <c r="BN341">
        <f t="shared" si="294"/>
        <v>-157.62870259448528</v>
      </c>
      <c r="BQ341" s="56">
        <f t="shared" si="311"/>
        <v>21.136243933009567</v>
      </c>
      <c r="BR341" s="59"/>
      <c r="BS341" s="59"/>
      <c r="BT341" s="59">
        <v>204173.79399999999</v>
      </c>
      <c r="BU341" s="59">
        <v>12.903600000000001</v>
      </c>
      <c r="BV341" s="59">
        <v>-148.923</v>
      </c>
      <c r="BY341" s="59"/>
      <c r="BZ341" s="59"/>
      <c r="CA341" s="59"/>
      <c r="CC341" s="59"/>
    </row>
    <row r="342" spans="1:81" x14ac:dyDescent="0.2">
      <c r="A342">
        <f t="shared" si="263"/>
        <v>640000</v>
      </c>
      <c r="B342">
        <f t="shared" si="295"/>
        <v>640</v>
      </c>
      <c r="C342">
        <f t="shared" si="264"/>
        <v>1.0778235468470252</v>
      </c>
      <c r="D342">
        <f t="shared" si="265"/>
        <v>0.38233594825860812</v>
      </c>
      <c r="F342">
        <f t="shared" si="266"/>
        <v>3.4229505941485292E-4</v>
      </c>
      <c r="G342">
        <f t="shared" si="267"/>
        <v>1.0739468406039839E-2</v>
      </c>
      <c r="H342">
        <f t="shared" si="268"/>
        <v>-3.1308531815939604</v>
      </c>
      <c r="J342">
        <f t="shared" si="269"/>
        <v>15</v>
      </c>
      <c r="M342">
        <f t="shared" si="270"/>
        <v>1.2465142800262875E-3</v>
      </c>
      <c r="N342">
        <f t="shared" si="271"/>
        <v>-1.5707963250000001</v>
      </c>
      <c r="O342">
        <f t="shared" si="272"/>
        <v>72.389202093047047</v>
      </c>
      <c r="P342">
        <f t="shared" si="273"/>
        <v>1.5569816724094434</v>
      </c>
      <c r="Q342">
        <f t="shared" si="274"/>
        <v>76.167215224094207</v>
      </c>
      <c r="R342">
        <f t="shared" si="275"/>
        <v>1.5576669413005888</v>
      </c>
      <c r="S342">
        <f t="shared" si="276"/>
        <v>0.98755728946413479</v>
      </c>
      <c r="T342">
        <f t="shared" si="277"/>
        <v>-0.15791516713017939</v>
      </c>
      <c r="U342">
        <f t="shared" si="278"/>
        <v>0.25389372357520584</v>
      </c>
      <c r="V342">
        <f t="shared" si="279"/>
        <v>-1.3140925504281407</v>
      </c>
      <c r="X342">
        <f t="shared" si="296"/>
        <v>-40.412141074844179</v>
      </c>
      <c r="Y342">
        <f t="shared" si="280"/>
        <v>-153.36204685641061</v>
      </c>
      <c r="Z342">
        <f t="shared" si="297"/>
        <v>26.637953143589385</v>
      </c>
      <c r="AC342">
        <v>1</v>
      </c>
      <c r="AD342">
        <f t="shared" si="281"/>
        <v>72.382294655999999</v>
      </c>
      <c r="AE342">
        <f t="shared" si="282"/>
        <v>-0.29106647664822266</v>
      </c>
      <c r="AF342">
        <f t="shared" si="283"/>
        <v>7.6403533248000005E-2</v>
      </c>
      <c r="AG342">
        <f t="shared" si="298"/>
        <v>57.85511193951826</v>
      </c>
      <c r="AH342">
        <f t="shared" si="299"/>
        <v>-233.49291361196421</v>
      </c>
      <c r="AJ342">
        <f t="shared" si="284"/>
        <v>10500</v>
      </c>
      <c r="AK342">
        <f t="shared" si="285"/>
        <v>1672.0310065536003</v>
      </c>
      <c r="AL342">
        <v>1</v>
      </c>
      <c r="AM342">
        <f t="shared" si="286"/>
        <v>76.160650437043202</v>
      </c>
      <c r="AN342">
        <f t="shared" si="300"/>
        <v>23.760110926194596</v>
      </c>
      <c r="AO342">
        <f t="shared" si="301"/>
        <v>-137.554496041677</v>
      </c>
      <c r="AQ342">
        <f t="shared" si="287"/>
        <v>6.1035118997119749E-3</v>
      </c>
      <c r="AR342">
        <f t="shared" si="288"/>
        <v>-7.8124952316313285</v>
      </c>
      <c r="AT342">
        <f t="shared" ref="AT342:AT405" si="313">-AR342*AH342+AG342*AQ342</f>
        <v>-1823.809154848994</v>
      </c>
      <c r="AU342">
        <f t="shared" ref="AU342:AU405" si="314">AQ342*AH342+AG342*AR342</f>
        <v>-453.4179129297122</v>
      </c>
      <c r="AV342">
        <f t="shared" si="302"/>
        <v>-2.8979222817674364</v>
      </c>
      <c r="AW342">
        <f t="shared" si="303"/>
        <v>-1008.2552795214957</v>
      </c>
      <c r="AX342">
        <f t="shared" si="304"/>
        <v>-564.26575261810513</v>
      </c>
      <c r="AY342">
        <f t="shared" si="312"/>
        <v>-2.6313740734109663</v>
      </c>
      <c r="BA342">
        <f t="shared" si="289"/>
        <v>1.6265436283030981</v>
      </c>
      <c r="BB342">
        <f t="shared" si="305"/>
        <v>4.2253143345545086</v>
      </c>
      <c r="BC342">
        <f t="shared" si="306"/>
        <v>-0.26654820835647008</v>
      </c>
      <c r="BD342">
        <f t="shared" si="290"/>
        <v>-195.27208739305036</v>
      </c>
      <c r="BF342">
        <f t="shared" si="291"/>
        <v>-40.913894525248409</v>
      </c>
      <c r="BG342">
        <f t="shared" si="292"/>
        <v>-172.75052496208508</v>
      </c>
      <c r="BH342">
        <f t="shared" si="307"/>
        <v>7.2494750379149195</v>
      </c>
      <c r="BI342">
        <f t="shared" si="308"/>
        <v>7.2494750379149195</v>
      </c>
      <c r="BJ342">
        <f t="shared" si="293"/>
        <v>0</v>
      </c>
      <c r="BK342">
        <f t="shared" si="309"/>
        <v>0</v>
      </c>
      <c r="BM342">
        <f t="shared" si="310"/>
        <v>-45.13920885980292</v>
      </c>
      <c r="BN342">
        <f t="shared" si="294"/>
        <v>-157.47843756903472</v>
      </c>
      <c r="BQ342" s="56">
        <f t="shared" si="311"/>
        <v>21.127275134839646</v>
      </c>
      <c r="BR342" s="59"/>
      <c r="BS342" s="59"/>
      <c r="BT342" s="59">
        <v>208929.61300000001</v>
      </c>
      <c r="BU342" s="59">
        <v>13.1541</v>
      </c>
      <c r="BV342" s="59">
        <v>-149.92099999999999</v>
      </c>
      <c r="BY342" s="59"/>
      <c r="BZ342" s="59"/>
      <c r="CA342" s="59"/>
      <c r="CC342" s="59"/>
    </row>
    <row r="343" spans="1:81" x14ac:dyDescent="0.2">
      <c r="A343">
        <f t="shared" si="263"/>
        <v>645000</v>
      </c>
      <c r="B343">
        <f t="shared" si="295"/>
        <v>645</v>
      </c>
      <c r="C343">
        <f t="shared" si="264"/>
        <v>1.078999576674238</v>
      </c>
      <c r="D343">
        <f t="shared" si="265"/>
        <v>0.38503730200136149</v>
      </c>
      <c r="F343">
        <f t="shared" si="266"/>
        <v>3.3700721172130228E-4</v>
      </c>
      <c r="G343">
        <f t="shared" si="267"/>
        <v>1.0656165582235045E-2</v>
      </c>
      <c r="H343">
        <f t="shared" si="268"/>
        <v>-3.1309364844177652</v>
      </c>
      <c r="J343">
        <f t="shared" si="269"/>
        <v>15</v>
      </c>
      <c r="M343">
        <f t="shared" si="270"/>
        <v>1.236851378630735E-3</v>
      </c>
      <c r="N343">
        <f t="shared" si="271"/>
        <v>-1.5707963250000001</v>
      </c>
      <c r="O343">
        <f t="shared" si="272"/>
        <v>72.954635229073574</v>
      </c>
      <c r="P343">
        <f t="shared" si="273"/>
        <v>1.5570887492869472</v>
      </c>
      <c r="Q343">
        <f t="shared" si="274"/>
        <v>76.76216942014679</v>
      </c>
      <c r="R343">
        <f t="shared" si="275"/>
        <v>1.5577687079223479</v>
      </c>
      <c r="S343">
        <f t="shared" si="276"/>
        <v>0.98736579606505159</v>
      </c>
      <c r="T343">
        <f t="shared" si="277"/>
        <v>-0.15912823623538644</v>
      </c>
      <c r="U343">
        <f t="shared" si="278"/>
        <v>0.25205104955521701</v>
      </c>
      <c r="V343">
        <f t="shared" si="279"/>
        <v>-1.315997175575164</v>
      </c>
      <c r="X343">
        <f t="shared" si="296"/>
        <v>-40.535280709564397</v>
      </c>
      <c r="Y343">
        <f t="shared" si="280"/>
        <v>-153.37870845960205</v>
      </c>
      <c r="Z343">
        <f t="shared" si="297"/>
        <v>26.621291540397948</v>
      </c>
      <c r="AC343">
        <v>1</v>
      </c>
      <c r="AD343">
        <f t="shared" si="281"/>
        <v>72.947781332999995</v>
      </c>
      <c r="AE343">
        <f t="shared" si="282"/>
        <v>-0.29563215563373246</v>
      </c>
      <c r="AF343">
        <f t="shared" si="283"/>
        <v>7.7000435851500001E-2</v>
      </c>
      <c r="AG343">
        <f t="shared" si="298"/>
        <v>57.01837405133297</v>
      </c>
      <c r="AH343">
        <f t="shared" si="299"/>
        <v>-231.90082801561425</v>
      </c>
      <c r="AJ343">
        <f t="shared" si="284"/>
        <v>10500</v>
      </c>
      <c r="AK343">
        <f t="shared" si="285"/>
        <v>1685.0937487923004</v>
      </c>
      <c r="AL343">
        <v>1</v>
      </c>
      <c r="AM343">
        <f t="shared" si="286"/>
        <v>76.7556555185826</v>
      </c>
      <c r="AN343">
        <f t="shared" si="300"/>
        <v>23.732222491548132</v>
      </c>
      <c r="AO343">
        <f t="shared" si="301"/>
        <v>-136.48854545932633</v>
      </c>
      <c r="AQ343">
        <f t="shared" si="287"/>
        <v>6.0092506404358873E-3</v>
      </c>
      <c r="AR343">
        <f t="shared" si="288"/>
        <v>-7.7519333261622938</v>
      </c>
      <c r="AT343">
        <f t="shared" si="313"/>
        <v>-1797.3371193580861</v>
      </c>
      <c r="AU343">
        <f t="shared" si="314"/>
        <v>-443.3961842113859</v>
      </c>
      <c r="AV343">
        <f t="shared" si="302"/>
        <v>-2.8997258862348381</v>
      </c>
      <c r="AW343">
        <f t="shared" si="303"/>
        <v>-992.3062117532678</v>
      </c>
      <c r="AX343">
        <f t="shared" si="304"/>
        <v>-559.82311228286608</v>
      </c>
      <c r="AY343">
        <f t="shared" si="312"/>
        <v>-2.6279402963872966</v>
      </c>
      <c r="BA343">
        <f t="shared" si="289"/>
        <v>1.6248329909512722</v>
      </c>
      <c r="BB343">
        <f t="shared" si="305"/>
        <v>4.216174569858099</v>
      </c>
      <c r="BC343">
        <f t="shared" si="306"/>
        <v>-0.27178558984754142</v>
      </c>
      <c r="BD343">
        <f t="shared" si="290"/>
        <v>-195.57216724853154</v>
      </c>
      <c r="BF343">
        <f t="shared" si="291"/>
        <v>-41.048790871671592</v>
      </c>
      <c r="BG343">
        <f t="shared" si="292"/>
        <v>-172.90060154918879</v>
      </c>
      <c r="BH343">
        <f t="shared" si="307"/>
        <v>7.0993984508112078</v>
      </c>
      <c r="BI343">
        <f t="shared" si="308"/>
        <v>7.0993984508112078</v>
      </c>
      <c r="BJ343">
        <f t="shared" si="293"/>
        <v>0</v>
      </c>
      <c r="BK343">
        <f t="shared" si="309"/>
        <v>0</v>
      </c>
      <c r="BM343">
        <f t="shared" si="310"/>
        <v>-45.264965441529696</v>
      </c>
      <c r="BN343">
        <f t="shared" si="294"/>
        <v>-157.32843430065725</v>
      </c>
      <c r="BQ343" s="56">
        <f t="shared" si="311"/>
        <v>21.118135370143236</v>
      </c>
      <c r="BR343" s="59"/>
      <c r="BS343" s="59"/>
      <c r="BT343" s="59">
        <v>213796.209</v>
      </c>
      <c r="BU343" s="59">
        <v>13.368399999999999</v>
      </c>
      <c r="BV343" s="59">
        <v>-151.101</v>
      </c>
      <c r="BY343" s="59"/>
      <c r="BZ343" s="59"/>
      <c r="CA343" s="59"/>
      <c r="CC343" s="59"/>
    </row>
    <row r="344" spans="1:81" x14ac:dyDescent="0.2">
      <c r="A344">
        <f t="shared" si="263"/>
        <v>650000</v>
      </c>
      <c r="B344">
        <f t="shared" si="295"/>
        <v>650</v>
      </c>
      <c r="C344">
        <f t="shared" si="264"/>
        <v>1.0801834631196801</v>
      </c>
      <c r="D344">
        <f t="shared" si="265"/>
        <v>0.3877327539835998</v>
      </c>
      <c r="F344">
        <f t="shared" si="266"/>
        <v>3.3184096730882231E-4</v>
      </c>
      <c r="G344">
        <f t="shared" si="267"/>
        <v>1.0574145507099939E-2</v>
      </c>
      <c r="H344">
        <f t="shared" si="268"/>
        <v>-3.1310185044929004</v>
      </c>
      <c r="J344">
        <f t="shared" si="269"/>
        <v>15</v>
      </c>
      <c r="M344">
        <f t="shared" si="270"/>
        <v>1.2273371372566522E-3</v>
      </c>
      <c r="N344">
        <f t="shared" si="271"/>
        <v>-1.5707963250000001</v>
      </c>
      <c r="O344">
        <f t="shared" si="272"/>
        <v>73.520069188692204</v>
      </c>
      <c r="P344">
        <f t="shared" si="273"/>
        <v>1.5571941791350175</v>
      </c>
      <c r="Q344">
        <f t="shared" si="274"/>
        <v>77.357124398954141</v>
      </c>
      <c r="R344">
        <f t="shared" si="275"/>
        <v>1.5578689091674431</v>
      </c>
      <c r="S344">
        <f t="shared" si="276"/>
        <v>0.98717292509992316</v>
      </c>
      <c r="T344">
        <f t="shared" si="277"/>
        <v>-0.16034083320518536</v>
      </c>
      <c r="U344">
        <f t="shared" si="278"/>
        <v>0.25023404159333612</v>
      </c>
      <c r="V344">
        <f t="shared" si="279"/>
        <v>-1.3178743469888623</v>
      </c>
      <c r="X344">
        <f t="shared" si="296"/>
        <v>-40.657429803959431</v>
      </c>
      <c r="Y344">
        <f t="shared" si="280"/>
        <v>-153.39421873557026</v>
      </c>
      <c r="Z344">
        <f t="shared" si="297"/>
        <v>26.605781264429737</v>
      </c>
      <c r="AC344">
        <v>1</v>
      </c>
      <c r="AD344">
        <f t="shared" si="281"/>
        <v>73.513268010000019</v>
      </c>
      <c r="AE344">
        <f t="shared" si="282"/>
        <v>-0.30023336519500504</v>
      </c>
      <c r="AF344">
        <f t="shared" si="283"/>
        <v>7.7597338454999998E-2</v>
      </c>
      <c r="AG344">
        <f t="shared" si="298"/>
        <v>56.199258962248997</v>
      </c>
      <c r="AH344">
        <f t="shared" si="299"/>
        <v>-230.3286813125215</v>
      </c>
      <c r="AJ344">
        <f t="shared" si="284"/>
        <v>10500</v>
      </c>
      <c r="AK344">
        <f t="shared" si="285"/>
        <v>1698.1564910310003</v>
      </c>
      <c r="AL344">
        <v>1</v>
      </c>
      <c r="AM344">
        <f t="shared" si="286"/>
        <v>77.350660600122012</v>
      </c>
      <c r="AN344">
        <f t="shared" si="300"/>
        <v>23.704975014246063</v>
      </c>
      <c r="AO344">
        <f t="shared" si="301"/>
        <v>-135.43898583031918</v>
      </c>
      <c r="AQ344">
        <f t="shared" si="287"/>
        <v>5.9171562620377151E-3</v>
      </c>
      <c r="AR344">
        <f t="shared" si="288"/>
        <v>-7.6923031406490292</v>
      </c>
      <c r="AT344">
        <f t="shared" si="313"/>
        <v>-1771.4254988447683</v>
      </c>
      <c r="AU344">
        <f t="shared" si="314"/>
        <v>-433.66462701641132</v>
      </c>
      <c r="AV344">
        <f t="shared" si="302"/>
        <v>-2.9015035908261293</v>
      </c>
      <c r="AW344">
        <f t="shared" si="303"/>
        <v>-976.72487653858343</v>
      </c>
      <c r="AX344">
        <f t="shared" si="304"/>
        <v>-555.45068767398243</v>
      </c>
      <c r="AY344">
        <f t="shared" si="312"/>
        <v>-2.6245157434972635</v>
      </c>
      <c r="BA344">
        <f t="shared" si="289"/>
        <v>1.6230929161491383</v>
      </c>
      <c r="BB344">
        <f t="shared" si="305"/>
        <v>4.2068676462572094</v>
      </c>
      <c r="BC344">
        <f t="shared" si="306"/>
        <v>-0.27698784732886583</v>
      </c>
      <c r="BD344">
        <f t="shared" si="290"/>
        <v>-195.87023464649238</v>
      </c>
      <c r="BF344">
        <f t="shared" si="291"/>
        <v>-41.18275667443492</v>
      </c>
      <c r="BG344">
        <f t="shared" si="292"/>
        <v>-173.04893032865667</v>
      </c>
      <c r="BH344">
        <f t="shared" si="307"/>
        <v>6.9510696713433333</v>
      </c>
      <c r="BI344">
        <f t="shared" si="308"/>
        <v>6.9510696713433333</v>
      </c>
      <c r="BJ344">
        <f t="shared" si="293"/>
        <v>0</v>
      </c>
      <c r="BK344">
        <f t="shared" si="309"/>
        <v>0</v>
      </c>
      <c r="BM344">
        <f t="shared" si="310"/>
        <v>-45.389624320692128</v>
      </c>
      <c r="BN344">
        <f t="shared" si="294"/>
        <v>-157.17869568216432</v>
      </c>
      <c r="BQ344" s="56">
        <f t="shared" si="311"/>
        <v>21.108828446542347</v>
      </c>
      <c r="BR344" s="59"/>
      <c r="BS344" s="59"/>
      <c r="BT344" s="59">
        <v>218776.16200000001</v>
      </c>
      <c r="BU344" s="59">
        <v>13.6015</v>
      </c>
      <c r="BV344" s="59">
        <v>-153.08699999999999</v>
      </c>
      <c r="BY344" s="59"/>
      <c r="BZ344" s="59"/>
      <c r="CA344" s="59"/>
      <c r="CC344" s="59"/>
    </row>
    <row r="345" spans="1:81" x14ac:dyDescent="0.2">
      <c r="A345">
        <f t="shared" si="263"/>
        <v>655000</v>
      </c>
      <c r="B345">
        <f t="shared" si="295"/>
        <v>655</v>
      </c>
      <c r="C345">
        <f t="shared" si="264"/>
        <v>1.0813751803791423</v>
      </c>
      <c r="D345">
        <f t="shared" si="265"/>
        <v>0.39042228448614413</v>
      </c>
      <c r="F345">
        <f t="shared" si="266"/>
        <v>3.2679262558038286E-4</v>
      </c>
      <c r="G345">
        <f t="shared" si="267"/>
        <v>1.04933787694763E-2</v>
      </c>
      <c r="H345">
        <f t="shared" si="268"/>
        <v>-3.1310992712305241</v>
      </c>
      <c r="J345">
        <f t="shared" si="269"/>
        <v>15</v>
      </c>
      <c r="M345">
        <f t="shared" si="270"/>
        <v>1.2179681514760672E-3</v>
      </c>
      <c r="N345">
        <f t="shared" si="271"/>
        <v>-1.5707963250000001</v>
      </c>
      <c r="O345">
        <f t="shared" si="272"/>
        <v>74.085503953045531</v>
      </c>
      <c r="P345">
        <f t="shared" si="273"/>
        <v>1.5572979996626157</v>
      </c>
      <c r="Q345">
        <f t="shared" si="274"/>
        <v>77.952080142593545</v>
      </c>
      <c r="R345">
        <f t="shared" si="275"/>
        <v>1.5579675808762372</v>
      </c>
      <c r="S345">
        <f t="shared" si="276"/>
        <v>0.98697867907693715</v>
      </c>
      <c r="T345">
        <f t="shared" si="277"/>
        <v>-0.16155295475126738</v>
      </c>
      <c r="U345">
        <f t="shared" si="278"/>
        <v>0.24844218660254855</v>
      </c>
      <c r="V345">
        <f t="shared" si="279"/>
        <v>-1.3197246410609671</v>
      </c>
      <c r="X345">
        <f t="shared" si="296"/>
        <v>-40.778602030065656</v>
      </c>
      <c r="Y345">
        <f t="shared" si="280"/>
        <v>-153.40860912161764</v>
      </c>
      <c r="Z345">
        <f t="shared" si="297"/>
        <v>26.591390878382356</v>
      </c>
      <c r="AC345">
        <v>1</v>
      </c>
      <c r="AD345">
        <f t="shared" si="281"/>
        <v>74.078754687000014</v>
      </c>
      <c r="AE345">
        <f t="shared" si="282"/>
        <v>-0.30487010533204034</v>
      </c>
      <c r="AF345">
        <f t="shared" si="283"/>
        <v>7.8194241058500008E-2</v>
      </c>
      <c r="AG345">
        <f t="shared" si="298"/>
        <v>55.397286723460361</v>
      </c>
      <c r="AH345">
        <f t="shared" si="299"/>
        <v>-228.77613998589993</v>
      </c>
      <c r="AJ345">
        <f t="shared" si="284"/>
        <v>10500</v>
      </c>
      <c r="AK345">
        <f t="shared" si="285"/>
        <v>1711.2192332697</v>
      </c>
      <c r="AL345">
        <v>1</v>
      </c>
      <c r="AM345">
        <f t="shared" si="286"/>
        <v>77.94566568166141</v>
      </c>
      <c r="AN345">
        <f t="shared" si="300"/>
        <v>23.678349003353212</v>
      </c>
      <c r="AO345">
        <f t="shared" si="301"/>
        <v>-134.40544203936989</v>
      </c>
      <c r="AQ345">
        <f t="shared" si="287"/>
        <v>5.8271628534684143E-3</v>
      </c>
      <c r="AR345">
        <f t="shared" si="288"/>
        <v>-7.6335833380436231</v>
      </c>
      <c r="AT345">
        <f t="shared" si="313"/>
        <v>-1746.0589213269234</v>
      </c>
      <c r="AU345">
        <f t="shared" si="314"/>
        <v>-424.21292072971795</v>
      </c>
      <c r="AV345">
        <f t="shared" si="302"/>
        <v>-2.9032559363577928</v>
      </c>
      <c r="AW345">
        <f t="shared" si="303"/>
        <v>-961.50005053855898</v>
      </c>
      <c r="AX345">
        <f t="shared" si="304"/>
        <v>-551.14680389684179</v>
      </c>
      <c r="AY345">
        <f t="shared" si="312"/>
        <v>-2.6211004509288127</v>
      </c>
      <c r="BA345">
        <f t="shared" si="289"/>
        <v>1.6213241923425574</v>
      </c>
      <c r="BB345">
        <f t="shared" si="305"/>
        <v>4.197397260180205</v>
      </c>
      <c r="BC345">
        <f t="shared" si="306"/>
        <v>-0.28215548542898006</v>
      </c>
      <c r="BD345">
        <f t="shared" si="290"/>
        <v>-196.16631850001826</v>
      </c>
      <c r="BF345">
        <f t="shared" si="291"/>
        <v>-41.315804656168105</v>
      </c>
      <c r="BG345">
        <f t="shared" si="292"/>
        <v>-173.19554302853516</v>
      </c>
      <c r="BH345">
        <f t="shared" si="307"/>
        <v>6.8044569714648446</v>
      </c>
      <c r="BI345">
        <f t="shared" si="308"/>
        <v>6.8044569714648446</v>
      </c>
      <c r="BJ345">
        <f t="shared" si="293"/>
        <v>0</v>
      </c>
      <c r="BK345">
        <f t="shared" si="309"/>
        <v>0</v>
      </c>
      <c r="BM345">
        <f t="shared" si="310"/>
        <v>-45.513201916348308</v>
      </c>
      <c r="BN345">
        <f t="shared" si="294"/>
        <v>-157.02922452851689</v>
      </c>
      <c r="BQ345" s="56">
        <f t="shared" si="311"/>
        <v>21.099358060465342</v>
      </c>
      <c r="BR345" s="59"/>
      <c r="BS345" s="59"/>
      <c r="BT345" s="59">
        <v>223872.114</v>
      </c>
      <c r="BU345" s="59">
        <v>13.8704</v>
      </c>
      <c r="BV345" s="59">
        <v>-154.70699999999999</v>
      </c>
      <c r="BY345" s="59"/>
      <c r="BZ345" s="59"/>
      <c r="CA345" s="59"/>
      <c r="CC345" s="59"/>
    </row>
    <row r="346" spans="1:81" x14ac:dyDescent="0.2">
      <c r="A346">
        <f t="shared" si="263"/>
        <v>660000</v>
      </c>
      <c r="B346">
        <f t="shared" si="295"/>
        <v>660</v>
      </c>
      <c r="C346">
        <f t="shared" si="264"/>
        <v>1.0825747025917321</v>
      </c>
      <c r="D346">
        <f t="shared" si="265"/>
        <v>0.3931058742190221</v>
      </c>
      <c r="F346">
        <f t="shared" si="266"/>
        <v>3.2185862565747413E-4</v>
      </c>
      <c r="G346">
        <f t="shared" si="267"/>
        <v>1.04138368507733E-2</v>
      </c>
      <c r="H346">
        <f t="shared" si="268"/>
        <v>-3.1311788131492269</v>
      </c>
      <c r="J346">
        <f t="shared" si="269"/>
        <v>15</v>
      </c>
      <c r="M346">
        <f t="shared" si="270"/>
        <v>1.2087411200254908E-3</v>
      </c>
      <c r="N346">
        <f t="shared" si="271"/>
        <v>-1.5707963250000001</v>
      </c>
      <c r="O346">
        <f t="shared" si="272"/>
        <v>74.650939503847425</v>
      </c>
      <c r="P346">
        <f t="shared" si="273"/>
        <v>1.5574002474363549</v>
      </c>
      <c r="Q346">
        <f t="shared" si="274"/>
        <v>78.547036633685323</v>
      </c>
      <c r="R346">
        <f t="shared" si="275"/>
        <v>1.5580647578033191</v>
      </c>
      <c r="S346">
        <f t="shared" si="276"/>
        <v>0.98678306051949416</v>
      </c>
      <c r="T346">
        <f t="shared" si="277"/>
        <v>-0.16276459759348985</v>
      </c>
      <c r="U346">
        <f t="shared" si="278"/>
        <v>0.24667498450673178</v>
      </c>
      <c r="V346">
        <f t="shared" si="279"/>
        <v>-1.3215486185314489</v>
      </c>
      <c r="X346">
        <f t="shared" si="296"/>
        <v>-40.898810790670062</v>
      </c>
      <c r="Y346">
        <f t="shared" si="280"/>
        <v>-153.42191021066478</v>
      </c>
      <c r="Z346">
        <f t="shared" si="297"/>
        <v>26.578089789335223</v>
      </c>
      <c r="AC346">
        <v>1</v>
      </c>
      <c r="AD346">
        <f t="shared" si="281"/>
        <v>74.64424136400001</v>
      </c>
      <c r="AE346">
        <f t="shared" si="282"/>
        <v>-0.30954237604483836</v>
      </c>
      <c r="AF346">
        <f t="shared" si="283"/>
        <v>7.8791143662000004E-2</v>
      </c>
      <c r="AG346">
        <f t="shared" si="298"/>
        <v>54.611993202139637</v>
      </c>
      <c r="AH346">
        <f t="shared" si="299"/>
        <v>-227.24287659972236</v>
      </c>
      <c r="AJ346">
        <f t="shared" si="284"/>
        <v>10500</v>
      </c>
      <c r="AK346">
        <f t="shared" si="285"/>
        <v>1724.2819755084001</v>
      </c>
      <c r="AL346">
        <v>1</v>
      </c>
      <c r="AM346">
        <f t="shared" si="286"/>
        <v>78.540670763200808</v>
      </c>
      <c r="AN346">
        <f t="shared" si="300"/>
        <v>23.652325703178843</v>
      </c>
      <c r="AO346">
        <f t="shared" si="301"/>
        <v>-133.3875503289612</v>
      </c>
      <c r="AQ346">
        <f t="shared" si="287"/>
        <v>5.7392069908132511E-3</v>
      </c>
      <c r="AR346">
        <f t="shared" si="288"/>
        <v>-7.5757532278734914</v>
      </c>
      <c r="AT346">
        <f t="shared" si="313"/>
        <v>-1721.2225263784362</v>
      </c>
      <c r="AU346">
        <f t="shared" si="314"/>
        <v>-415.03117768770818</v>
      </c>
      <c r="AV346">
        <f t="shared" si="302"/>
        <v>-2.9049834490722408</v>
      </c>
      <c r="AW346">
        <f t="shared" si="303"/>
        <v>-946.62093545883567</v>
      </c>
      <c r="AX346">
        <f t="shared" si="304"/>
        <v>-546.90983974403082</v>
      </c>
      <c r="AY346">
        <f t="shared" si="312"/>
        <v>-2.6176944531105999</v>
      </c>
      <c r="BA346">
        <f t="shared" si="289"/>
        <v>1.6195275866045533</v>
      </c>
      <c r="BB346">
        <f t="shared" si="305"/>
        <v>4.1877670013307462</v>
      </c>
      <c r="BC346">
        <f t="shared" si="306"/>
        <v>-0.28728899596164093</v>
      </c>
      <c r="BD346">
        <f t="shared" si="290"/>
        <v>-196.46044698796177</v>
      </c>
      <c r="BF346">
        <f t="shared" si="291"/>
        <v>-41.447947280255107</v>
      </c>
      <c r="BG346">
        <f t="shared" si="292"/>
        <v>-173.34047056690565</v>
      </c>
      <c r="BH346">
        <f t="shared" si="307"/>
        <v>6.6595294330943489</v>
      </c>
      <c r="BI346">
        <f t="shared" si="308"/>
        <v>6.6595294330943489</v>
      </c>
      <c r="BJ346">
        <f t="shared" si="293"/>
        <v>0</v>
      </c>
      <c r="BK346">
        <f t="shared" si="309"/>
        <v>0</v>
      </c>
      <c r="BM346">
        <f t="shared" si="310"/>
        <v>-45.635714281585862</v>
      </c>
      <c r="BN346">
        <f t="shared" si="294"/>
        <v>-156.88002357894388</v>
      </c>
      <c r="BQ346" s="56">
        <f t="shared" si="311"/>
        <v>21.089727801615883</v>
      </c>
      <c r="BR346" s="59"/>
      <c r="BS346" s="59"/>
      <c r="BT346" s="59">
        <v>229086.76500000001</v>
      </c>
      <c r="BU346" s="59">
        <v>14.1297</v>
      </c>
      <c r="BV346" s="59">
        <v>-156.46</v>
      </c>
      <c r="BY346" s="59"/>
      <c r="BZ346" s="59"/>
      <c r="CA346" s="59"/>
      <c r="CC346" s="59"/>
    </row>
    <row r="347" spans="1:81" x14ac:dyDescent="0.2">
      <c r="A347">
        <f t="shared" si="263"/>
        <v>665000</v>
      </c>
      <c r="B347">
        <f t="shared" si="295"/>
        <v>665</v>
      </c>
      <c r="C347">
        <f t="shared" si="264"/>
        <v>1.0837820038420496</v>
      </c>
      <c r="D347">
        <f t="shared" si="265"/>
        <v>0.39578350431964526</v>
      </c>
      <c r="F347">
        <f t="shared" si="266"/>
        <v>3.1703554009681776E-4</v>
      </c>
      <c r="G347">
        <f t="shared" si="267"/>
        <v>1.0335492091353425E-2</v>
      </c>
      <c r="H347">
        <f t="shared" si="268"/>
        <v>-3.1312571579086468</v>
      </c>
      <c r="J347">
        <f t="shared" si="269"/>
        <v>15</v>
      </c>
      <c r="M347">
        <f t="shared" si="270"/>
        <v>1.1996528409275549E-3</v>
      </c>
      <c r="N347">
        <f t="shared" si="271"/>
        <v>-1.5707963250000001</v>
      </c>
      <c r="O347">
        <f t="shared" si="272"/>
        <v>75.216375823361631</v>
      </c>
      <c r="P347">
        <f t="shared" si="273"/>
        <v>1.5575009579234296</v>
      </c>
      <c r="Q347">
        <f t="shared" si="274"/>
        <v>79.141993855372377</v>
      </c>
      <c r="R347">
        <f t="shared" si="275"/>
        <v>1.5581604736583101</v>
      </c>
      <c r="S347">
        <f t="shared" si="276"/>
        <v>0.9865860719661198</v>
      </c>
      <c r="T347">
        <f t="shared" si="277"/>
        <v>-0.1639757584599226</v>
      </c>
      <c r="U347">
        <f t="shared" si="278"/>
        <v>0.24493194785241698</v>
      </c>
      <c r="V347">
        <f t="shared" si="279"/>
        <v>-1.3233468250029135</v>
      </c>
      <c r="X347">
        <f t="shared" si="296"/>
        <v>-41.018069226289946</v>
      </c>
      <c r="Y347">
        <f t="shared" si="280"/>
        <v>-153.43415177795808</v>
      </c>
      <c r="Z347">
        <f t="shared" si="297"/>
        <v>26.565848222041922</v>
      </c>
      <c r="AC347">
        <v>1</v>
      </c>
      <c r="AD347">
        <f t="shared" si="281"/>
        <v>75.209728041000005</v>
      </c>
      <c r="AE347">
        <f t="shared" si="282"/>
        <v>-0.31425017733339911</v>
      </c>
      <c r="AF347">
        <f t="shared" si="283"/>
        <v>7.9388046265500001E-2</v>
      </c>
      <c r="AG347">
        <f t="shared" si="298"/>
        <v>53.842929477906985</v>
      </c>
      <c r="AH347">
        <f t="shared" si="299"/>
        <v>-225.72856972258819</v>
      </c>
      <c r="AJ347">
        <f t="shared" si="284"/>
        <v>10500</v>
      </c>
      <c r="AK347">
        <f t="shared" si="285"/>
        <v>1737.3447177471</v>
      </c>
      <c r="AL347">
        <v>1</v>
      </c>
      <c r="AM347">
        <f t="shared" si="286"/>
        <v>79.135675844740206</v>
      </c>
      <c r="AN347">
        <f t="shared" si="300"/>
        <v>23.626887060245544</v>
      </c>
      <c r="AO347">
        <f t="shared" si="301"/>
        <v>-132.3849578727781</v>
      </c>
      <c r="AQ347">
        <f t="shared" si="287"/>
        <v>5.6532276255143732E-3</v>
      </c>
      <c r="AR347">
        <f t="shared" si="288"/>
        <v>-7.5187927419341163</v>
      </c>
      <c r="AT347">
        <f t="shared" si="313"/>
        <v>-1696.9019453410019</v>
      </c>
      <c r="AU347">
        <f t="shared" si="314"/>
        <v>-406.10992234918109</v>
      </c>
      <c r="AV347">
        <f t="shared" si="302"/>
        <v>-2.906686641111714</v>
      </c>
      <c r="AW347">
        <f t="shared" si="303"/>
        <v>-932.07713887613136</v>
      </c>
      <c r="AX347">
        <f t="shared" si="304"/>
        <v>-542.73822552637955</v>
      </c>
      <c r="AY347">
        <f t="shared" si="312"/>
        <v>-2.6142977827634137</v>
      </c>
      <c r="BA347">
        <f t="shared" si="289"/>
        <v>1.6177038454104378</v>
      </c>
      <c r="BB347">
        <f t="shared" si="305"/>
        <v>4.1779803569409317</v>
      </c>
      <c r="BC347">
        <f t="shared" si="306"/>
        <v>-0.29238885834830031</v>
      </c>
      <c r="BD347">
        <f t="shared" si="290"/>
        <v>-196.75264757914877</v>
      </c>
      <c r="BF347">
        <f t="shared" si="291"/>
        <v>-41.579196757606745</v>
      </c>
      <c r="BG347">
        <f t="shared" si="292"/>
        <v>-173.48374307812131</v>
      </c>
      <c r="BH347">
        <f t="shared" si="307"/>
        <v>6.5162569218786928</v>
      </c>
      <c r="BI347">
        <f t="shared" si="308"/>
        <v>6.5162569218786928</v>
      </c>
      <c r="BJ347">
        <f t="shared" si="293"/>
        <v>0</v>
      </c>
      <c r="BK347">
        <f t="shared" si="309"/>
        <v>0</v>
      </c>
      <c r="BM347">
        <f t="shared" si="310"/>
        <v>-45.75717711454768</v>
      </c>
      <c r="BN347">
        <f t="shared" si="294"/>
        <v>-156.73109549897254</v>
      </c>
      <c r="BQ347" s="56">
        <f t="shared" si="311"/>
        <v>21.079941157226067</v>
      </c>
      <c r="BR347" s="59"/>
      <c r="BS347" s="59"/>
      <c r="BT347" s="59">
        <v>234422.88200000001</v>
      </c>
      <c r="BU347" s="59">
        <v>14.451599999999999</v>
      </c>
      <c r="BV347" s="59">
        <v>-158.77500000000001</v>
      </c>
      <c r="BY347" s="59"/>
      <c r="BZ347" s="59"/>
      <c r="CA347" s="59"/>
      <c r="CC347" s="59"/>
    </row>
    <row r="348" spans="1:81" x14ac:dyDescent="0.2">
      <c r="A348">
        <f t="shared" si="263"/>
        <v>670000</v>
      </c>
      <c r="B348">
        <f t="shared" si="295"/>
        <v>670</v>
      </c>
      <c r="C348">
        <f t="shared" si="264"/>
        <v>1.0849970581623514</v>
      </c>
      <c r="D348">
        <f t="shared" si="265"/>
        <v>0.39845515635093537</v>
      </c>
      <c r="F348">
        <f t="shared" si="266"/>
        <v>3.1232006893431479E-4</v>
      </c>
      <c r="G348">
        <f t="shared" si="267"/>
        <v>1.0258317658426523E-2</v>
      </c>
      <c r="H348">
        <f t="shared" si="268"/>
        <v>-3.1313343323415737</v>
      </c>
      <c r="J348">
        <f t="shared" si="269"/>
        <v>15</v>
      </c>
      <c r="M348">
        <f t="shared" si="270"/>
        <v>1.1907002077863047E-3</v>
      </c>
      <c r="N348">
        <f t="shared" si="271"/>
        <v>-1.5707963250000001</v>
      </c>
      <c r="O348">
        <f t="shared" si="272"/>
        <v>75.781812894381218</v>
      </c>
      <c r="P348">
        <f t="shared" si="273"/>
        <v>1.5576001655326235</v>
      </c>
      <c r="Q348">
        <f t="shared" si="274"/>
        <v>79.736951791300669</v>
      </c>
      <c r="R348">
        <f t="shared" si="275"/>
        <v>1.5582547611448412</v>
      </c>
      <c r="S348">
        <f t="shared" si="276"/>
        <v>0.98638771597037556</v>
      </c>
      <c r="T348">
        <f t="shared" si="277"/>
        <v>-0.16518643408689412</v>
      </c>
      <c r="U348">
        <f t="shared" si="278"/>
        <v>0.24321260143337448</v>
      </c>
      <c r="V348">
        <f t="shared" si="279"/>
        <v>-1.3251197914354182</v>
      </c>
      <c r="X348">
        <f t="shared" si="296"/>
        <v>-41.136390221931777</v>
      </c>
      <c r="Y348">
        <f t="shared" si="280"/>
        <v>-153.44536280678764</v>
      </c>
      <c r="Z348">
        <f t="shared" si="297"/>
        <v>26.554637193212358</v>
      </c>
      <c r="AC348">
        <v>1</v>
      </c>
      <c r="AD348">
        <f t="shared" si="281"/>
        <v>75.775214718000015</v>
      </c>
      <c r="AE348">
        <f t="shared" si="282"/>
        <v>-0.31899350919772257</v>
      </c>
      <c r="AF348">
        <f t="shared" si="283"/>
        <v>7.9984948868999997E-2</v>
      </c>
      <c r="AG348">
        <f t="shared" si="298"/>
        <v>53.089661265098542</v>
      </c>
      <c r="AH348">
        <f t="shared" si="299"/>
        <v>-224.23290384853149</v>
      </c>
      <c r="AJ348">
        <f t="shared" si="284"/>
        <v>10500</v>
      </c>
      <c r="AK348">
        <f t="shared" si="285"/>
        <v>1750.4074599858002</v>
      </c>
      <c r="AL348">
        <v>1</v>
      </c>
      <c r="AM348">
        <f t="shared" si="286"/>
        <v>79.730680926279604</v>
      </c>
      <c r="AN348">
        <f t="shared" si="300"/>
        <v>23.602015691976465</v>
      </c>
      <c r="AO348">
        <f t="shared" si="301"/>
        <v>-131.39732236821968</v>
      </c>
      <c r="AQ348">
        <f t="shared" si="287"/>
        <v>5.5691659784105714E-3</v>
      </c>
      <c r="AR348">
        <f t="shared" si="288"/>
        <v>-7.4626824110701655</v>
      </c>
      <c r="AT348">
        <f t="shared" si="313"/>
        <v>-1673.0832823983008</v>
      </c>
      <c r="AU348">
        <f t="shared" si="314"/>
        <v>-397.4400715920774</v>
      </c>
      <c r="AV348">
        <f t="shared" si="302"/>
        <v>-2.9083660109744081</v>
      </c>
      <c r="AW348">
        <f t="shared" si="303"/>
        <v>-917.8586560662842</v>
      </c>
      <c r="AX348">
        <f t="shared" si="304"/>
        <v>-538.63044100993341</v>
      </c>
      <c r="AY348">
        <f t="shared" si="312"/>
        <v>-2.6109104709494062</v>
      </c>
      <c r="BA348">
        <f t="shared" si="289"/>
        <v>1.615853695378026</v>
      </c>
      <c r="BB348">
        <f t="shared" si="305"/>
        <v>4.168040715820359</v>
      </c>
      <c r="BC348">
        <f t="shared" si="306"/>
        <v>-0.29745554002500185</v>
      </c>
      <c r="BD348">
        <f t="shared" si="290"/>
        <v>-197.04294705569174</v>
      </c>
      <c r="BF348">
        <f t="shared" si="291"/>
        <v>-41.709565053222434</v>
      </c>
      <c r="BG348">
        <f t="shared" si="292"/>
        <v>-173.62538993806697</v>
      </c>
      <c r="BH348">
        <f t="shared" si="307"/>
        <v>6.3746100619330264</v>
      </c>
      <c r="BI348">
        <f t="shared" si="308"/>
        <v>6.3746100619330264</v>
      </c>
      <c r="BJ348">
        <f t="shared" si="293"/>
        <v>0</v>
      </c>
      <c r="BK348">
        <f t="shared" si="309"/>
        <v>0</v>
      </c>
      <c r="BM348">
        <f t="shared" si="310"/>
        <v>-45.877605769042795</v>
      </c>
      <c r="BN348">
        <f t="shared" si="294"/>
        <v>-156.58244288237523</v>
      </c>
      <c r="BQ348" s="56">
        <f t="shared" si="311"/>
        <v>21.070001516105496</v>
      </c>
      <c r="BR348" s="59"/>
      <c r="BS348" s="59"/>
      <c r="BT348" s="59">
        <v>239883.29199999999</v>
      </c>
      <c r="BU348" s="59">
        <v>14.4628</v>
      </c>
      <c r="BV348" s="59">
        <v>-161.529</v>
      </c>
      <c r="BY348" s="59"/>
      <c r="BZ348" s="59"/>
      <c r="CA348" s="59"/>
      <c r="CC348" s="59"/>
    </row>
    <row r="349" spans="1:81" x14ac:dyDescent="0.2">
      <c r="A349">
        <f t="shared" si="263"/>
        <v>675000</v>
      </c>
      <c r="B349">
        <f t="shared" si="295"/>
        <v>675</v>
      </c>
      <c r="C349">
        <f t="shared" si="264"/>
        <v>1.0862198395346969</v>
      </c>
      <c r="D349">
        <f t="shared" si="265"/>
        <v>0.40112081229940028</v>
      </c>
      <c r="F349">
        <f t="shared" si="266"/>
        <v>3.0770903403689248E-4</v>
      </c>
      <c r="G349">
        <f t="shared" si="267"/>
        <v>1.0182287515373669E-2</v>
      </c>
      <c r="H349">
        <f t="shared" si="268"/>
        <v>-3.1314103624846266</v>
      </c>
      <c r="J349">
        <f t="shared" si="269"/>
        <v>15</v>
      </c>
      <c r="M349">
        <f t="shared" si="270"/>
        <v>1.1818802062471467E-3</v>
      </c>
      <c r="N349">
        <f t="shared" si="271"/>
        <v>-1.5707963250000001</v>
      </c>
      <c r="O349">
        <f t="shared" si="272"/>
        <v>76.347250700208946</v>
      </c>
      <c r="P349">
        <f t="shared" si="273"/>
        <v>1.5576979036534973</v>
      </c>
      <c r="Q349">
        <f t="shared" si="274"/>
        <v>80.331910425600668</v>
      </c>
      <c r="R349">
        <f t="shared" si="275"/>
        <v>1.5583476519978015</v>
      </c>
      <c r="S349">
        <f t="shared" si="276"/>
        <v>0.98618799510077126</v>
      </c>
      <c r="T349">
        <f t="shared" si="277"/>
        <v>-0.16639662121903728</v>
      </c>
      <c r="U349">
        <f t="shared" si="278"/>
        <v>0.24151648192758665</v>
      </c>
      <c r="V349">
        <f t="shared" si="279"/>
        <v>-1.3268680346225399</v>
      </c>
      <c r="X349">
        <f t="shared" si="296"/>
        <v>-41.253786413637535</v>
      </c>
      <c r="Y349">
        <f t="shared" si="280"/>
        <v>-153.45557151325482</v>
      </c>
      <c r="Z349">
        <f t="shared" si="297"/>
        <v>26.544428486745176</v>
      </c>
      <c r="AC349">
        <v>1</v>
      </c>
      <c r="AD349">
        <f t="shared" si="281"/>
        <v>76.340701395000011</v>
      </c>
      <c r="AE349">
        <f t="shared" si="282"/>
        <v>-0.32377237163780875</v>
      </c>
      <c r="AF349">
        <f t="shared" si="283"/>
        <v>8.0581851472499993E-2</v>
      </c>
      <c r="AG349">
        <f t="shared" si="298"/>
        <v>52.351768359633652</v>
      </c>
      <c r="AH349">
        <f t="shared" si="299"/>
        <v>-222.75556931522684</v>
      </c>
      <c r="AJ349">
        <f t="shared" si="284"/>
        <v>10500</v>
      </c>
      <c r="AK349">
        <f t="shared" si="285"/>
        <v>1763.4702022245003</v>
      </c>
      <c r="AL349">
        <v>1</v>
      </c>
      <c r="AM349">
        <f t="shared" si="286"/>
        <v>80.325686007819016</v>
      </c>
      <c r="AN349">
        <f t="shared" si="300"/>
        <v>23.57769485699939</v>
      </c>
      <c r="AO349">
        <f t="shared" si="301"/>
        <v>-130.42431164700182</v>
      </c>
      <c r="AQ349">
        <f t="shared" si="287"/>
        <v>5.4869654392507876E-3</v>
      </c>
      <c r="AR349">
        <f t="shared" si="288"/>
        <v>-7.4074033429885633</v>
      </c>
      <c r="AT349">
        <f t="shared" si="313"/>
        <v>-1649.7530964712589</v>
      </c>
      <c r="AU349">
        <f t="shared" si="314"/>
        <v>-389.01291606874651</v>
      </c>
      <c r="AV349">
        <f t="shared" si="302"/>
        <v>-2.9100220439535756</v>
      </c>
      <c r="AW349">
        <f t="shared" si="303"/>
        <v>-903.95585277446617</v>
      </c>
      <c r="AX349">
        <f t="shared" si="304"/>
        <v>-534.58501345278546</v>
      </c>
      <c r="AY349">
        <f t="shared" si="312"/>
        <v>-2.6075325471192641</v>
      </c>
      <c r="BA349">
        <f t="shared" si="289"/>
        <v>1.6139778439747043</v>
      </c>
      <c r="BB349">
        <f t="shared" si="305"/>
        <v>4.1579513722120911</v>
      </c>
      <c r="BC349">
        <f t="shared" si="306"/>
        <v>-0.30248949683431148</v>
      </c>
      <c r="BD349">
        <f t="shared" si="290"/>
        <v>-197.3313715354459</v>
      </c>
      <c r="BF349">
        <f t="shared" si="291"/>
        <v>-41.839063892549106</v>
      </c>
      <c r="BG349">
        <f t="shared" si="292"/>
        <v>-173.76543978848332</v>
      </c>
      <c r="BH349">
        <f t="shared" si="307"/>
        <v>6.2345602115166798</v>
      </c>
      <c r="BI349">
        <f t="shared" si="308"/>
        <v>6.2345602115166798</v>
      </c>
      <c r="BJ349">
        <f t="shared" si="293"/>
        <v>0</v>
      </c>
      <c r="BK349">
        <f t="shared" si="309"/>
        <v>0</v>
      </c>
      <c r="BM349">
        <f t="shared" si="310"/>
        <v>-45.997015264761188</v>
      </c>
      <c r="BN349">
        <f t="shared" si="294"/>
        <v>-156.43406825303742</v>
      </c>
      <c r="BQ349" s="56">
        <f t="shared" si="311"/>
        <v>21.059912172497228</v>
      </c>
      <c r="BR349" s="59"/>
      <c r="BS349" s="59"/>
      <c r="BT349" s="59">
        <v>245470.89199999999</v>
      </c>
      <c r="BU349" s="59">
        <v>14.575900000000001</v>
      </c>
      <c r="BV349" s="59">
        <v>-163.59700000000001</v>
      </c>
      <c r="BY349" s="59"/>
      <c r="BZ349" s="59"/>
      <c r="CA349" s="59"/>
      <c r="CC349" s="59"/>
    </row>
    <row r="350" spans="1:81" x14ac:dyDescent="0.2">
      <c r="A350">
        <f t="shared" si="263"/>
        <v>680000</v>
      </c>
      <c r="B350">
        <f t="shared" si="295"/>
        <v>680</v>
      </c>
      <c r="C350">
        <f t="shared" si="264"/>
        <v>1.0874503218930809</v>
      </c>
      <c r="D350">
        <f t="shared" si="265"/>
        <v>0.40378045457315986</v>
      </c>
      <c r="F350">
        <f t="shared" si="266"/>
        <v>3.0319937374419313E-4</v>
      </c>
      <c r="G350">
        <f t="shared" si="267"/>
        <v>1.0107376392427011E-2</v>
      </c>
      <c r="H350">
        <f t="shared" si="268"/>
        <v>-3.1314852736075731</v>
      </c>
      <c r="J350">
        <f t="shared" si="269"/>
        <v>15</v>
      </c>
      <c r="M350">
        <f t="shared" si="270"/>
        <v>1.1731899106129766E-3</v>
      </c>
      <c r="N350">
        <f t="shared" si="271"/>
        <v>-1.5707963250000001</v>
      </c>
      <c r="O350">
        <f t="shared" si="272"/>
        <v>76.912689224638569</v>
      </c>
      <c r="P350">
        <f t="shared" si="273"/>
        <v>1.557794204693846</v>
      </c>
      <c r="Q350">
        <f t="shared" si="274"/>
        <v>80.926869742869499</v>
      </c>
      <c r="R350">
        <f t="shared" si="275"/>
        <v>1.5584391770189419</v>
      </c>
      <c r="S350">
        <f t="shared" si="276"/>
        <v>0.98598691194067634</v>
      </c>
      <c r="T350">
        <f t="shared" si="277"/>
        <v>-0.16760631660933492</v>
      </c>
      <c r="U350">
        <f t="shared" si="278"/>
        <v>0.23984313754618669</v>
      </c>
      <c r="V350">
        <f t="shared" si="279"/>
        <v>-1.3285920576494907</v>
      </c>
      <c r="X350">
        <f t="shared" si="296"/>
        <v>-41.37027019482602</v>
      </c>
      <c r="Y350">
        <f t="shared" si="280"/>
        <v>-153.46480537013008</v>
      </c>
      <c r="Z350">
        <f t="shared" si="297"/>
        <v>26.53519462986992</v>
      </c>
      <c r="AC350">
        <v>1</v>
      </c>
      <c r="AD350">
        <f t="shared" si="281"/>
        <v>76.906188072000006</v>
      </c>
      <c r="AE350">
        <f t="shared" si="282"/>
        <v>-0.32858676465365766</v>
      </c>
      <c r="AF350">
        <f t="shared" si="283"/>
        <v>8.1178754076000004E-2</v>
      </c>
      <c r="AG350">
        <f t="shared" si="298"/>
        <v>51.628844109339788</v>
      </c>
      <c r="AH350">
        <f t="shared" si="299"/>
        <v>-221.29626222000766</v>
      </c>
      <c r="AJ350">
        <f t="shared" si="284"/>
        <v>10500</v>
      </c>
      <c r="AK350">
        <f t="shared" si="285"/>
        <v>1776.5329444632002</v>
      </c>
      <c r="AL350">
        <v>1</v>
      </c>
      <c r="AM350">
        <f t="shared" si="286"/>
        <v>80.920691089358399</v>
      </c>
      <c r="AN350">
        <f t="shared" si="300"/>
        <v>23.553908426973038</v>
      </c>
      <c r="AO350">
        <f t="shared" si="301"/>
        <v>-129.46560330292024</v>
      </c>
      <c r="AQ350">
        <f t="shared" si="287"/>
        <v>5.4065714713605797E-3</v>
      </c>
      <c r="AR350">
        <f t="shared" si="288"/>
        <v>-7.3529372010503886</v>
      </c>
      <c r="AT350">
        <f t="shared" si="313"/>
        <v>-1626.8983838952352</v>
      </c>
      <c r="AU350">
        <f t="shared" si="314"/>
        <v>-380.82010255683315</v>
      </c>
      <c r="AV350">
        <f t="shared" si="302"/>
        <v>-2.911655212560305</v>
      </c>
      <c r="AW350">
        <f t="shared" si="303"/>
        <v>-890.3594488721476</v>
      </c>
      <c r="AX350">
        <f t="shared" si="304"/>
        <v>-530.60051573609701</v>
      </c>
      <c r="AY350">
        <f t="shared" si="312"/>
        <v>-2.6041640391574332</v>
      </c>
      <c r="BA350">
        <f t="shared" si="289"/>
        <v>1.612076980193019</v>
      </c>
      <c r="BB350">
        <f t="shared" si="305"/>
        <v>4.147715529465855</v>
      </c>
      <c r="BC350">
        <f t="shared" si="306"/>
        <v>-0.3074911734028718</v>
      </c>
      <c r="BD350">
        <f t="shared" si="290"/>
        <v>-197.61794649364134</v>
      </c>
      <c r="BF350">
        <f t="shared" si="291"/>
        <v>-41.967704767644214</v>
      </c>
      <c r="BG350">
        <f t="shared" si="292"/>
        <v>-173.90392056039195</v>
      </c>
      <c r="BH350">
        <f t="shared" si="307"/>
        <v>6.0960794396080473</v>
      </c>
      <c r="BI350">
        <f t="shared" si="308"/>
        <v>6.0960794396080473</v>
      </c>
      <c r="BJ350">
        <f t="shared" si="293"/>
        <v>0</v>
      </c>
      <c r="BK350">
        <f t="shared" si="309"/>
        <v>0</v>
      </c>
      <c r="BM350">
        <f t="shared" si="310"/>
        <v>-46.11542029711007</v>
      </c>
      <c r="BN350">
        <f t="shared" si="294"/>
        <v>-156.28597406675061</v>
      </c>
      <c r="BQ350" s="56">
        <f t="shared" si="311"/>
        <v>21.049676329750994</v>
      </c>
      <c r="BR350" s="59"/>
      <c r="BS350" s="59"/>
      <c r="BT350" s="59">
        <v>251188.64300000001</v>
      </c>
      <c r="BU350" s="59">
        <v>14.7446</v>
      </c>
      <c r="BV350" s="59">
        <v>-165.89599999999999</v>
      </c>
      <c r="BY350" s="59"/>
      <c r="BZ350" s="59"/>
      <c r="CA350" s="59"/>
      <c r="CC350" s="59"/>
    </row>
    <row r="351" spans="1:81" x14ac:dyDescent="0.2">
      <c r="A351">
        <f t="shared" si="263"/>
        <v>685000</v>
      </c>
      <c r="B351">
        <f t="shared" si="295"/>
        <v>685</v>
      </c>
      <c r="C351">
        <f t="shared" si="264"/>
        <v>1.0886884791255509</v>
      </c>
      <c r="D351">
        <f t="shared" si="265"/>
        <v>0.4064340659999241</v>
      </c>
      <c r="F351">
        <f t="shared" si="266"/>
        <v>2.9878813778322816E-4</v>
      </c>
      <c r="G351">
        <f t="shared" si="267"/>
        <v>1.0033559758636209E-2</v>
      </c>
      <c r="H351">
        <f t="shared" si="268"/>
        <v>-3.1315590902413639</v>
      </c>
      <c r="J351">
        <f t="shared" si="269"/>
        <v>15</v>
      </c>
      <c r="M351">
        <f t="shared" si="270"/>
        <v>1.1646264806085022E-3</v>
      </c>
      <c r="N351">
        <f t="shared" si="271"/>
        <v>-1.5707963250000001</v>
      </c>
      <c r="O351">
        <f t="shared" si="272"/>
        <v>77.478128451936954</v>
      </c>
      <c r="P351">
        <f t="shared" si="273"/>
        <v>1.5578891001155188</v>
      </c>
      <c r="Q351">
        <f t="shared" si="274"/>
        <v>81.521829728153932</v>
      </c>
      <c r="R351">
        <f t="shared" si="275"/>
        <v>1.5585293661109207</v>
      </c>
      <c r="S351">
        <f t="shared" si="276"/>
        <v>0.98578446908822992</v>
      </c>
      <c r="T351">
        <f t="shared" si="277"/>
        <v>-0.1688155170191647</v>
      </c>
      <c r="U351">
        <f t="shared" si="278"/>
        <v>0.23819212769395176</v>
      </c>
      <c r="V351">
        <f t="shared" si="279"/>
        <v>-1.3302923503340471</v>
      </c>
      <c r="X351">
        <f t="shared" si="296"/>
        <v>-41.485853722436872</v>
      </c>
      <c r="Y351">
        <f t="shared" si="280"/>
        <v>-153.47309112983766</v>
      </c>
      <c r="Z351">
        <f t="shared" si="297"/>
        <v>26.526908870162345</v>
      </c>
      <c r="AC351">
        <v>1</v>
      </c>
      <c r="AD351">
        <f t="shared" si="281"/>
        <v>77.471674749000002</v>
      </c>
      <c r="AE351">
        <f t="shared" si="282"/>
        <v>-0.33343668824526923</v>
      </c>
      <c r="AF351">
        <f t="shared" si="283"/>
        <v>8.17756566795E-2</v>
      </c>
      <c r="AG351">
        <f t="shared" si="298"/>
        <v>50.920494906649481</v>
      </c>
      <c r="AH351">
        <f t="shared" si="299"/>
        <v>-219.85468433407669</v>
      </c>
      <c r="AJ351">
        <f t="shared" si="284"/>
        <v>10500</v>
      </c>
      <c r="AK351">
        <f t="shared" si="285"/>
        <v>1789.5956867019004</v>
      </c>
      <c r="AL351">
        <v>1</v>
      </c>
      <c r="AM351">
        <f t="shared" si="286"/>
        <v>81.515696170897812</v>
      </c>
      <c r="AN351">
        <f t="shared" si="300"/>
        <v>23.530640859846958</v>
      </c>
      <c r="AO351">
        <f t="shared" si="301"/>
        <v>-128.5208843358979</v>
      </c>
      <c r="AQ351">
        <f t="shared" si="287"/>
        <v>5.327931521161745E-3</v>
      </c>
      <c r="AR351">
        <f t="shared" si="288"/>
        <v>-7.2992661839915902</v>
      </c>
      <c r="AT351">
        <f t="shared" si="313"/>
        <v>-1604.5065618419853</v>
      </c>
      <c r="AU351">
        <f t="shared" si="314"/>
        <v>-372.85361724696116</v>
      </c>
      <c r="AV351">
        <f t="shared" si="302"/>
        <v>-2.9132659769306555</v>
      </c>
      <c r="AW351">
        <f t="shared" si="303"/>
        <v>-877.0605028490429</v>
      </c>
      <c r="AX351">
        <f t="shared" si="304"/>
        <v>-526.67556458400929</v>
      </c>
      <c r="AY351">
        <f t="shared" si="312"/>
        <v>-2.6008049734255105</v>
      </c>
      <c r="BA351">
        <f t="shared" si="289"/>
        <v>1.6101517751963741</v>
      </c>
      <c r="BB351">
        <f t="shared" si="305"/>
        <v>4.137336303538242</v>
      </c>
      <c r="BC351">
        <f t="shared" si="306"/>
        <v>-0.31246100350514494</v>
      </c>
      <c r="BD351">
        <f t="shared" si="290"/>
        <v>-197.90269678372405</v>
      </c>
      <c r="BF351">
        <f t="shared" si="291"/>
        <v>-42.095498943149934</v>
      </c>
      <c r="BG351">
        <f t="shared" si="292"/>
        <v>-174.04085949665856</v>
      </c>
      <c r="BH351">
        <f t="shared" si="307"/>
        <v>5.9591405033414446</v>
      </c>
      <c r="BI351">
        <f t="shared" si="308"/>
        <v>5.9591405033414446</v>
      </c>
      <c r="BJ351">
        <f t="shared" si="293"/>
        <v>0</v>
      </c>
      <c r="BK351">
        <f t="shared" si="309"/>
        <v>0</v>
      </c>
      <c r="BM351">
        <f t="shared" si="310"/>
        <v>-46.232835246688175</v>
      </c>
      <c r="BN351">
        <f t="shared" si="294"/>
        <v>-156.13816271293453</v>
      </c>
      <c r="BQ351" s="56">
        <f t="shared" si="311"/>
        <v>21.03929710382338</v>
      </c>
      <c r="BR351" s="59"/>
      <c r="BS351" s="59"/>
      <c r="BT351" s="59">
        <v>257039.57800000001</v>
      </c>
      <c r="BU351" s="59">
        <v>14.891</v>
      </c>
      <c r="BV351" s="59">
        <v>-168.07</v>
      </c>
      <c r="BY351" s="59"/>
      <c r="BZ351" s="59"/>
      <c r="CA351" s="59"/>
      <c r="CC351" s="59"/>
    </row>
    <row r="352" spans="1:81" x14ac:dyDescent="0.2">
      <c r="A352">
        <f t="shared" si="263"/>
        <v>690000</v>
      </c>
      <c r="B352">
        <f t="shared" si="295"/>
        <v>690</v>
      </c>
      <c r="C352">
        <f t="shared" si="264"/>
        <v>1.0899342850763076</v>
      </c>
      <c r="D352">
        <f t="shared" si="265"/>
        <v>0.40908162982492396</v>
      </c>
      <c r="F352">
        <f t="shared" si="266"/>
        <v>2.944724824402183E-4</v>
      </c>
      <c r="G352">
        <f t="shared" si="267"/>
        <v>9.9608137950560668E-3</v>
      </c>
      <c r="H352">
        <f t="shared" si="268"/>
        <v>-3.131631836204944</v>
      </c>
      <c r="J352">
        <f t="shared" si="269"/>
        <v>15</v>
      </c>
      <c r="M352">
        <f t="shared" si="270"/>
        <v>1.1561871582852522E-3</v>
      </c>
      <c r="N352">
        <f t="shared" si="271"/>
        <v>-1.5707963250000001</v>
      </c>
      <c r="O352">
        <f t="shared" si="272"/>
        <v>78.043568366826889</v>
      </c>
      <c r="P352">
        <f t="shared" si="273"/>
        <v>1.5579826204686802</v>
      </c>
      <c r="Q352">
        <f t="shared" si="274"/>
        <v>82.11679036693404</v>
      </c>
      <c r="R352">
        <f t="shared" si="275"/>
        <v>1.5586182483098707</v>
      </c>
      <c r="S352">
        <f t="shared" si="276"/>
        <v>0.98558066915625164</v>
      </c>
      <c r="T352">
        <f t="shared" si="277"/>
        <v>-0.17002421921834404</v>
      </c>
      <c r="U352">
        <f t="shared" si="278"/>
        <v>0.23656302264095541</v>
      </c>
      <c r="V352">
        <f t="shared" si="279"/>
        <v>-1.3319693896510079</v>
      </c>
      <c r="X352">
        <f t="shared" si="296"/>
        <v>-41.6005489228843</v>
      </c>
      <c r="Y352">
        <f t="shared" si="280"/>
        <v>-153.48045484660398</v>
      </c>
      <c r="Z352">
        <f t="shared" si="297"/>
        <v>26.519545153396024</v>
      </c>
      <c r="AC352">
        <v>1</v>
      </c>
      <c r="AD352">
        <f t="shared" si="281"/>
        <v>78.037161426000011</v>
      </c>
      <c r="AE352">
        <f t="shared" si="282"/>
        <v>-0.33832214241264347</v>
      </c>
      <c r="AF352">
        <f t="shared" si="283"/>
        <v>8.2372559282999996E-2</v>
      </c>
      <c r="AG352">
        <f t="shared" si="298"/>
        <v>50.226339702637546</v>
      </c>
      <c r="AH352">
        <f t="shared" si="299"/>
        <v>-218.43054301524984</v>
      </c>
      <c r="AJ352">
        <f t="shared" si="284"/>
        <v>10500</v>
      </c>
      <c r="AK352">
        <f t="shared" si="285"/>
        <v>1802.6584289406003</v>
      </c>
      <c r="AL352">
        <v>1</v>
      </c>
      <c r="AM352">
        <f t="shared" si="286"/>
        <v>82.11070125243721</v>
      </c>
      <c r="AN352">
        <f t="shared" si="300"/>
        <v>23.507877174472426</v>
      </c>
      <c r="AO352">
        <f t="shared" si="301"/>
        <v>-127.58985081149291</v>
      </c>
      <c r="AQ352">
        <f t="shared" si="287"/>
        <v>5.2509949322647907E-3</v>
      </c>
      <c r="AR352">
        <f t="shared" si="288"/>
        <v>-7.2463730065254115</v>
      </c>
      <c r="AT352">
        <f t="shared" si="313"/>
        <v>-1582.5654524511494</v>
      </c>
      <c r="AU352">
        <f t="shared" si="314"/>
        <v>-365.10576991219318</v>
      </c>
      <c r="AV352">
        <f t="shared" si="302"/>
        <v>-2.9148547852177971</v>
      </c>
      <c r="AW352">
        <f t="shared" si="303"/>
        <v>-864.05039709165317</v>
      </c>
      <c r="AX352">
        <f t="shared" si="304"/>
        <v>-522.80881886748557</v>
      </c>
      <c r="AY352">
        <f t="shared" si="312"/>
        <v>-2.5974553748039146</v>
      </c>
      <c r="BA352">
        <f t="shared" si="289"/>
        <v>1.6082028829363106</v>
      </c>
      <c r="BB352">
        <f t="shared" si="305"/>
        <v>4.1268167263289692</v>
      </c>
      <c r="BC352">
        <f t="shared" si="306"/>
        <v>-0.31739941041388242</v>
      </c>
      <c r="BD352">
        <f t="shared" si="290"/>
        <v>-198.18564665743625</v>
      </c>
      <c r="BF352">
        <f t="shared" si="291"/>
        <v>-42.222457462085281</v>
      </c>
      <c r="BG352">
        <f t="shared" si="292"/>
        <v>-174.17628317372794</v>
      </c>
      <c r="BH352">
        <f t="shared" si="307"/>
        <v>5.8237168262720616</v>
      </c>
      <c r="BI352">
        <f t="shared" si="308"/>
        <v>5.8237168262720616</v>
      </c>
      <c r="BJ352">
        <f t="shared" si="293"/>
        <v>0</v>
      </c>
      <c r="BK352">
        <f t="shared" si="309"/>
        <v>0</v>
      </c>
      <c r="BM352">
        <f t="shared" si="310"/>
        <v>-46.349274188414249</v>
      </c>
      <c r="BN352">
        <f t="shared" si="294"/>
        <v>-155.99063651629172</v>
      </c>
      <c r="BQ352" s="56">
        <f t="shared" si="311"/>
        <v>21.028777526614103</v>
      </c>
      <c r="BR352" s="59"/>
      <c r="BS352" s="59"/>
      <c r="BT352" s="59">
        <v>263026.799</v>
      </c>
      <c r="BU352" s="59">
        <v>14.9779</v>
      </c>
      <c r="BV352" s="59">
        <v>-170.82400000000001</v>
      </c>
      <c r="BY352" s="59"/>
      <c r="BZ352" s="59"/>
      <c r="CA352" s="59"/>
      <c r="CC352" s="59"/>
    </row>
    <row r="353" spans="1:81" x14ac:dyDescent="0.2">
      <c r="A353">
        <f t="shared" si="263"/>
        <v>695000</v>
      </c>
      <c r="B353">
        <f t="shared" si="295"/>
        <v>695</v>
      </c>
      <c r="C353">
        <f t="shared" si="264"/>
        <v>1.091187713547791</v>
      </c>
      <c r="D353">
        <f t="shared" si="265"/>
        <v>0.41172312970879632</v>
      </c>
      <c r="F353">
        <f t="shared" si="266"/>
        <v>2.9024966597486219E-4</v>
      </c>
      <c r="G353">
        <f t="shared" si="267"/>
        <v>9.8891153690936675E-3</v>
      </c>
      <c r="H353">
        <f t="shared" si="268"/>
        <v>-3.1317035346309066</v>
      </c>
      <c r="J353">
        <f t="shared" si="269"/>
        <v>15</v>
      </c>
      <c r="M353">
        <f t="shared" si="270"/>
        <v>1.1478692650601784E-3</v>
      </c>
      <c r="N353">
        <f t="shared" si="271"/>
        <v>-1.5707963250000001</v>
      </c>
      <c r="O353">
        <f t="shared" si="272"/>
        <v>78.609008954470653</v>
      </c>
      <c r="P353">
        <f t="shared" si="273"/>
        <v>1.5580747954245942</v>
      </c>
      <c r="Q353">
        <f t="shared" si="274"/>
        <v>82.711751645107697</v>
      </c>
      <c r="R353">
        <f t="shared" si="275"/>
        <v>1.5587058518165584</v>
      </c>
      <c r="S353">
        <f t="shared" si="276"/>
        <v>0.98537551477215135</v>
      </c>
      <c r="T353">
        <f t="shared" si="277"/>
        <v>-0.17123241998517458</v>
      </c>
      <c r="U353">
        <f t="shared" si="278"/>
        <v>0.23495540320499239</v>
      </c>
      <c r="V353">
        <f t="shared" si="279"/>
        <v>-1.333623640140881</v>
      </c>
      <c r="X353">
        <f t="shared" si="296"/>
        <v>-41.714367497827425</v>
      </c>
      <c r="Y353">
        <f t="shared" si="280"/>
        <v>-153.48692189780311</v>
      </c>
      <c r="Z353">
        <f t="shared" si="297"/>
        <v>26.513078102196886</v>
      </c>
      <c r="AC353">
        <v>1</v>
      </c>
      <c r="AD353">
        <f t="shared" si="281"/>
        <v>78.602648103000007</v>
      </c>
      <c r="AE353">
        <f t="shared" si="282"/>
        <v>-0.34324312715578059</v>
      </c>
      <c r="AF353">
        <f t="shared" si="283"/>
        <v>8.2969461886499993E-2</v>
      </c>
      <c r="AG353">
        <f t="shared" si="298"/>
        <v>49.546009541416751</v>
      </c>
      <c r="AH353">
        <f t="shared" si="299"/>
        <v>-217.02355111954566</v>
      </c>
      <c r="AJ353">
        <f t="shared" si="284"/>
        <v>10500</v>
      </c>
      <c r="AK353">
        <f t="shared" si="285"/>
        <v>1815.7211711793002</v>
      </c>
      <c r="AL353">
        <v>1</v>
      </c>
      <c r="AM353">
        <f t="shared" si="286"/>
        <v>82.705706333976607</v>
      </c>
      <c r="AN353">
        <f t="shared" si="300"/>
        <v>23.485602926486671</v>
      </c>
      <c r="AO353">
        <f t="shared" si="301"/>
        <v>-126.67220753508784</v>
      </c>
      <c r="AQ353">
        <f t="shared" si="287"/>
        <v>5.1757128638720232E-3</v>
      </c>
      <c r="AR353">
        <f t="shared" si="288"/>
        <v>-7.1942408807821119</v>
      </c>
      <c r="AT353">
        <f t="shared" si="313"/>
        <v>-1561.0632676378048</v>
      </c>
      <c r="AU353">
        <f t="shared" si="314"/>
        <v>-357.56917890777356</v>
      </c>
      <c r="AV353">
        <f t="shared" si="302"/>
        <v>-2.9164220739697662</v>
      </c>
      <c r="AW353">
        <f t="shared" si="303"/>
        <v>-851.32082390312655</v>
      </c>
      <c r="AX353">
        <f t="shared" si="304"/>
        <v>-518.99897798744212</v>
      </c>
      <c r="AY353">
        <f t="shared" si="312"/>
        <v>-2.5941152667319214</v>
      </c>
      <c r="BA353">
        <f t="shared" si="289"/>
        <v>1.6062309407428013</v>
      </c>
      <c r="BB353">
        <f t="shared" si="305"/>
        <v>4.1161597488619277</v>
      </c>
      <c r="BC353">
        <f t="shared" si="306"/>
        <v>-0.32230680723784477</v>
      </c>
      <c r="BD353">
        <f t="shared" si="290"/>
        <v>-198.46681978416649</v>
      </c>
      <c r="BF353">
        <f t="shared" si="291"/>
        <v>-42.348591151462429</v>
      </c>
      <c r="BG353">
        <f t="shared" si="292"/>
        <v>-174.31021752256513</v>
      </c>
      <c r="BH353">
        <f t="shared" si="307"/>
        <v>5.6897824774348749</v>
      </c>
      <c r="BI353">
        <f t="shared" si="308"/>
        <v>5.6897824774348749</v>
      </c>
      <c r="BJ353">
        <f t="shared" si="293"/>
        <v>0</v>
      </c>
      <c r="BK353">
        <f t="shared" si="309"/>
        <v>0</v>
      </c>
      <c r="BM353">
        <f t="shared" si="310"/>
        <v>-46.464750900324354</v>
      </c>
      <c r="BN353">
        <f t="shared" si="294"/>
        <v>-155.84339773839864</v>
      </c>
      <c r="BQ353" s="56">
        <f t="shared" si="311"/>
        <v>21.018120549147064</v>
      </c>
      <c r="BR353" s="59"/>
      <c r="BS353" s="59"/>
      <c r="BT353" s="59">
        <v>269153.48</v>
      </c>
      <c r="BU353" s="59">
        <v>15.0854</v>
      </c>
      <c r="BV353" s="59">
        <v>-173.35300000000001</v>
      </c>
      <c r="BY353" s="59"/>
      <c r="BZ353" s="59"/>
      <c r="CA353" s="59"/>
      <c r="CC353" s="59"/>
    </row>
    <row r="354" spans="1:81" x14ac:dyDescent="0.2">
      <c r="A354">
        <f t="shared" si="263"/>
        <v>700000</v>
      </c>
      <c r="B354">
        <f t="shared" si="295"/>
        <v>700</v>
      </c>
      <c r="C354">
        <f t="shared" si="264"/>
        <v>1.0924487383027484</v>
      </c>
      <c r="D354">
        <f t="shared" si="265"/>
        <v>0.41435854972542396</v>
      </c>
      <c r="F354">
        <f t="shared" si="266"/>
        <v>2.8611704426321778E-4</v>
      </c>
      <c r="G354">
        <f t="shared" si="267"/>
        <v>9.8184420099569816E-3</v>
      </c>
      <c r="H354">
        <f t="shared" si="268"/>
        <v>-3.131774207990043</v>
      </c>
      <c r="J354">
        <f t="shared" si="269"/>
        <v>15</v>
      </c>
      <c r="M354">
        <f t="shared" si="270"/>
        <v>1.1396701988811771E-3</v>
      </c>
      <c r="N354">
        <f t="shared" si="271"/>
        <v>-1.5707963250000001</v>
      </c>
      <c r="O354">
        <f t="shared" si="272"/>
        <v>79.174450200454459</v>
      </c>
      <c r="P354">
        <f t="shared" si="273"/>
        <v>1.5581656538070026</v>
      </c>
      <c r="Q354">
        <f t="shared" si="274"/>
        <v>83.306713548975623</v>
      </c>
      <c r="R354">
        <f t="shared" si="275"/>
        <v>1.5587922040262105</v>
      </c>
      <c r="S354">
        <f t="shared" si="276"/>
        <v>0.98516900857783918</v>
      </c>
      <c r="T354">
        <f t="shared" si="277"/>
        <v>-0.17244011610648602</v>
      </c>
      <c r="U354">
        <f t="shared" si="278"/>
        <v>0.23336886044440674</v>
      </c>
      <c r="V354">
        <f t="shared" si="279"/>
        <v>-1.3352555543034526</v>
      </c>
      <c r="X354">
        <f t="shared" si="296"/>
        <v>-41.827320929763644</v>
      </c>
      <c r="Y354">
        <f t="shared" si="280"/>
        <v>-153.49251700453337</v>
      </c>
      <c r="Z354">
        <f t="shared" si="297"/>
        <v>26.507482995466631</v>
      </c>
      <c r="AC354">
        <v>1</v>
      </c>
      <c r="AD354">
        <f t="shared" si="281"/>
        <v>79.168134780000003</v>
      </c>
      <c r="AE354">
        <f t="shared" si="282"/>
        <v>-0.34819964247468033</v>
      </c>
      <c r="AF354">
        <f t="shared" si="283"/>
        <v>8.3566364490000003E-2</v>
      </c>
      <c r="AG354">
        <f t="shared" si="298"/>
        <v>48.879147113958986</v>
      </c>
      <c r="AH354">
        <f t="shared" si="299"/>
        <v>-215.63342691190252</v>
      </c>
      <c r="AJ354">
        <f t="shared" si="284"/>
        <v>10500</v>
      </c>
      <c r="AK354">
        <f t="shared" si="285"/>
        <v>1828.7839134180001</v>
      </c>
      <c r="AL354">
        <v>1</v>
      </c>
      <c r="AM354">
        <f t="shared" si="286"/>
        <v>83.300711415516005</v>
      </c>
      <c r="AN354">
        <f t="shared" si="300"/>
        <v>23.463804185398157</v>
      </c>
      <c r="AO354">
        <f t="shared" si="301"/>
        <v>-125.76766774002832</v>
      </c>
      <c r="AQ354">
        <f t="shared" si="287"/>
        <v>5.1020382132458096E-3</v>
      </c>
      <c r="AR354">
        <f t="shared" si="288"/>
        <v>-7.1428534985441337</v>
      </c>
      <c r="AT354">
        <f t="shared" si="313"/>
        <v>-1539.9885945443375</v>
      </c>
      <c r="AU354">
        <f t="shared" si="314"/>
        <v>-350.23675695295299</v>
      </c>
      <c r="AV354">
        <f t="shared" si="302"/>
        <v>-2.9179682684934347</v>
      </c>
      <c r="AW354">
        <f t="shared" si="303"/>
        <v>-838.86377222209262</v>
      </c>
      <c r="AX354">
        <f t="shared" si="304"/>
        <v>-515.24478033282276</v>
      </c>
      <c r="AY354">
        <f t="shared" si="312"/>
        <v>-2.5907846712461668</v>
      </c>
      <c r="BA354">
        <f t="shared" si="289"/>
        <v>1.6042365698888896</v>
      </c>
      <c r="BB354">
        <f t="shared" si="305"/>
        <v>4.1053682443191244</v>
      </c>
      <c r="BC354">
        <f t="shared" si="306"/>
        <v>-0.32718359724726787</v>
      </c>
      <c r="BD354">
        <f t="shared" si="290"/>
        <v>-198.74623926959728</v>
      </c>
      <c r="BF354">
        <f t="shared" si="291"/>
        <v>-42.473910627733545</v>
      </c>
      <c r="BG354">
        <f t="shared" si="292"/>
        <v>-174.44268784883349</v>
      </c>
      <c r="BH354">
        <f t="shared" si="307"/>
        <v>5.5573121511665136</v>
      </c>
      <c r="BI354">
        <f t="shared" si="308"/>
        <v>5.5573121511665136</v>
      </c>
      <c r="BJ354">
        <f t="shared" si="293"/>
        <v>0</v>
      </c>
      <c r="BK354">
        <f t="shared" si="309"/>
        <v>0</v>
      </c>
      <c r="BM354">
        <f t="shared" si="310"/>
        <v>-46.579278872052676</v>
      </c>
      <c r="BN354">
        <f t="shared" si="294"/>
        <v>-155.6964485792362</v>
      </c>
      <c r="BQ354" s="56">
        <f t="shared" si="311"/>
        <v>21.007329044604258</v>
      </c>
      <c r="BR354" s="59"/>
      <c r="BS354" s="59"/>
      <c r="BT354" s="59">
        <v>275422.87</v>
      </c>
      <c r="BU354" s="59">
        <v>15.1145</v>
      </c>
      <c r="BV354" s="59">
        <v>-175.80699999999999</v>
      </c>
      <c r="BY354" s="59"/>
      <c r="BZ354" s="59"/>
      <c r="CA354" s="59"/>
      <c r="CC354" s="59"/>
    </row>
    <row r="355" spans="1:81" x14ac:dyDescent="0.2">
      <c r="A355">
        <f t="shared" si="263"/>
        <v>705000</v>
      </c>
      <c r="B355">
        <f t="shared" si="295"/>
        <v>705</v>
      </c>
      <c r="C355">
        <f t="shared" si="264"/>
        <v>1.0937173330662886</v>
      </c>
      <c r="D355">
        <f t="shared" si="265"/>
        <v>0.41698787435973245</v>
      </c>
      <c r="F355">
        <f t="shared" si="266"/>
        <v>2.8207206665626364E-4</v>
      </c>
      <c r="G355">
        <f t="shared" si="267"/>
        <v>9.7487718851501388E-3</v>
      </c>
      <c r="H355">
        <f t="shared" si="268"/>
        <v>-3.1318438781148501</v>
      </c>
      <c r="J355">
        <f t="shared" si="269"/>
        <v>15</v>
      </c>
      <c r="M355">
        <f t="shared" si="270"/>
        <v>1.1315874315132256E-3</v>
      </c>
      <c r="N355">
        <f t="shared" si="271"/>
        <v>-1.5707963250000001</v>
      </c>
      <c r="O355">
        <f t="shared" si="272"/>
        <v>79.739892090773296</v>
      </c>
      <c r="P355">
        <f t="shared" si="273"/>
        <v>1.5582552236221701</v>
      </c>
      <c r="Q355">
        <f t="shared" si="274"/>
        <v>83.901676065227051</v>
      </c>
      <c r="R355">
        <f t="shared" si="275"/>
        <v>1.5588773315570712</v>
      </c>
      <c r="S355">
        <f t="shared" si="276"/>
        <v>0.98496115322963518</v>
      </c>
      <c r="T355">
        <f t="shared" si="277"/>
        <v>-0.17364730437768008</v>
      </c>
      <c r="U355">
        <f t="shared" si="278"/>
        <v>0.23180299536096072</v>
      </c>
      <c r="V355">
        <f t="shared" si="279"/>
        <v>-1.3368655729768717</v>
      </c>
      <c r="X355">
        <f t="shared" si="296"/>
        <v>-41.939420487451642</v>
      </c>
      <c r="Y355">
        <f t="shared" si="280"/>
        <v>-153.49726425145445</v>
      </c>
      <c r="Z355">
        <f t="shared" si="297"/>
        <v>26.502735748545547</v>
      </c>
      <c r="AC355">
        <v>1</v>
      </c>
      <c r="AD355">
        <f t="shared" si="281"/>
        <v>79.733621456999998</v>
      </c>
      <c r="AE355">
        <f t="shared" si="282"/>
        <v>-0.35319168836934289</v>
      </c>
      <c r="AF355">
        <f t="shared" si="283"/>
        <v>8.4163267093499999E-2</v>
      </c>
      <c r="AG355">
        <f t="shared" si="298"/>
        <v>48.225406330453168</v>
      </c>
      <c r="AH355">
        <f t="shared" si="299"/>
        <v>-214.25989397627652</v>
      </c>
      <c r="AJ355">
        <f t="shared" si="284"/>
        <v>10500</v>
      </c>
      <c r="AK355">
        <f t="shared" si="285"/>
        <v>1841.8466556567002</v>
      </c>
      <c r="AL355">
        <v>1</v>
      </c>
      <c r="AM355">
        <f t="shared" si="286"/>
        <v>83.895716497055403</v>
      </c>
      <c r="AN355">
        <f t="shared" si="300"/>
        <v>23.442467512804996</v>
      </c>
      <c r="AO355">
        <f t="shared" si="301"/>
        <v>-124.87595278901878</v>
      </c>
      <c r="AQ355">
        <f t="shared" si="287"/>
        <v>5.0299255420122018E-3</v>
      </c>
      <c r="AR355">
        <f t="shared" si="288"/>
        <v>-7.0921950142372046</v>
      </c>
      <c r="AT355">
        <f t="shared" si="313"/>
        <v>-1519.3303816064649</v>
      </c>
      <c r="AU355">
        <f t="shared" si="314"/>
        <v>-343.10169764974341</v>
      </c>
      <c r="AV355">
        <f t="shared" si="302"/>
        <v>-2.9194937832052492</v>
      </c>
      <c r="AW355">
        <f t="shared" si="303"/>
        <v>-826.67151500081491</v>
      </c>
      <c r="AX355">
        <f t="shared" si="304"/>
        <v>-511.54500180953954</v>
      </c>
      <c r="AY355">
        <f t="shared" si="312"/>
        <v>-2.5874636090176937</v>
      </c>
      <c r="BA355">
        <f t="shared" si="289"/>
        <v>1.6022203761309295</v>
      </c>
      <c r="BB355">
        <f t="shared" si="305"/>
        <v>4.0944450109350905</v>
      </c>
      <c r="BC355">
        <f t="shared" si="306"/>
        <v>-0.33203017418755554</v>
      </c>
      <c r="BD355">
        <f t="shared" si="290"/>
        <v>-199.02392767367851</v>
      </c>
      <c r="BF355">
        <f t="shared" si="291"/>
        <v>-42.598426302073932</v>
      </c>
      <c r="BG355">
        <f t="shared" si="292"/>
        <v>-174.57371885234107</v>
      </c>
      <c r="BH355">
        <f t="shared" si="307"/>
        <v>5.4262811476589263</v>
      </c>
      <c r="BI355">
        <f t="shared" si="308"/>
        <v>5.4262811476589263</v>
      </c>
      <c r="BJ355">
        <f t="shared" si="293"/>
        <v>0</v>
      </c>
      <c r="BK355">
        <f t="shared" si="309"/>
        <v>0</v>
      </c>
      <c r="BM355">
        <f t="shared" si="310"/>
        <v>-46.692871313009022</v>
      </c>
      <c r="BN355">
        <f t="shared" si="294"/>
        <v>-155.54979117866256</v>
      </c>
      <c r="BQ355" s="56">
        <f t="shared" si="311"/>
        <v>20.996405811220225</v>
      </c>
      <c r="BR355" s="59"/>
      <c r="BS355" s="59"/>
      <c r="BT355" s="59">
        <v>281838.29300000001</v>
      </c>
      <c r="BU355" s="59">
        <v>15.1486</v>
      </c>
      <c r="BV355" s="59">
        <v>-177.72399999999999</v>
      </c>
      <c r="BY355" s="59"/>
      <c r="BZ355" s="59"/>
      <c r="CA355" s="59"/>
      <c r="CC355" s="59"/>
    </row>
    <row r="356" spans="1:81" x14ac:dyDescent="0.2">
      <c r="A356">
        <f t="shared" si="263"/>
        <v>710000</v>
      </c>
      <c r="B356">
        <f t="shared" si="295"/>
        <v>710</v>
      </c>
      <c r="C356">
        <f t="shared" si="264"/>
        <v>1.0949934715279173</v>
      </c>
      <c r="D356">
        <f t="shared" si="265"/>
        <v>0.4196110885054436</v>
      </c>
      <c r="F356">
        <f t="shared" si="266"/>
        <v>2.7811227204202363E-4</v>
      </c>
      <c r="G356">
        <f t="shared" si="267"/>
        <v>9.680083777963585E-3</v>
      </c>
      <c r="H356">
        <f t="shared" si="268"/>
        <v>-3.1319125662220366</v>
      </c>
      <c r="J356">
        <f t="shared" si="269"/>
        <v>15</v>
      </c>
      <c r="M356">
        <f t="shared" si="270"/>
        <v>1.1236185059391888E-3</v>
      </c>
      <c r="N356">
        <f t="shared" si="271"/>
        <v>-1.5707963250000001</v>
      </c>
      <c r="O356">
        <f t="shared" si="272"/>
        <v>80.305334611816562</v>
      </c>
      <c r="P356">
        <f t="shared" si="273"/>
        <v>1.5583435320876595</v>
      </c>
      <c r="Q356">
        <f t="shared" si="274"/>
        <v>84.496639180926152</v>
      </c>
      <c r="R356">
        <f t="shared" si="275"/>
        <v>1.5589612602777523</v>
      </c>
      <c r="S356">
        <f t="shared" si="276"/>
        <v>0.98475195139817795</v>
      </c>
      <c r="T356">
        <f t="shared" si="277"/>
        <v>-0.17485398160277371</v>
      </c>
      <c r="U356">
        <f t="shared" si="278"/>
        <v>0.23025741861239848</v>
      </c>
      <c r="V356">
        <f t="shared" si="279"/>
        <v>-1.3384541257028479</v>
      </c>
      <c r="X356">
        <f t="shared" si="296"/>
        <v>-42.050677231169821</v>
      </c>
      <c r="Y356">
        <f t="shared" si="280"/>
        <v>-153.5011871059173</v>
      </c>
      <c r="Z356">
        <f t="shared" si="297"/>
        <v>26.498812894082704</v>
      </c>
      <c r="AC356">
        <v>1</v>
      </c>
      <c r="AD356">
        <f t="shared" si="281"/>
        <v>80.299108134000008</v>
      </c>
      <c r="AE356">
        <f t="shared" si="282"/>
        <v>-0.35821926483976813</v>
      </c>
      <c r="AF356">
        <f t="shared" si="283"/>
        <v>8.4760169696999996E-2</v>
      </c>
      <c r="AG356">
        <f t="shared" si="298"/>
        <v>47.584451910356435</v>
      </c>
      <c r="AH356">
        <f t="shared" si="299"/>
        <v>-212.90268112535284</v>
      </c>
      <c r="AJ356">
        <f t="shared" si="284"/>
        <v>10500</v>
      </c>
      <c r="AK356">
        <f t="shared" si="285"/>
        <v>1854.9093978954002</v>
      </c>
      <c r="AL356">
        <v>1</v>
      </c>
      <c r="AM356">
        <f t="shared" si="286"/>
        <v>84.490721578594815</v>
      </c>
      <c r="AN356">
        <f t="shared" si="300"/>
        <v>23.421579941682804</v>
      </c>
      <c r="AO356">
        <f t="shared" si="301"/>
        <v>-123.99679188812243</v>
      </c>
      <c r="AQ356">
        <f t="shared" si="287"/>
        <v>4.9593310060846033E-3</v>
      </c>
      <c r="AR356">
        <f t="shared" si="288"/>
        <v>-7.0422500286401366</v>
      </c>
      <c r="AT356">
        <f t="shared" si="313"/>
        <v>-1499.0779252048112</v>
      </c>
      <c r="AU356">
        <f t="shared" si="314"/>
        <v>-336.15746269631632</v>
      </c>
      <c r="AV356">
        <f t="shared" si="302"/>
        <v>-2.9209990219692852</v>
      </c>
      <c r="AW356">
        <f t="shared" si="303"/>
        <v>-814.73659720552178</v>
      </c>
      <c r="AX356">
        <f t="shared" si="304"/>
        <v>-507.89845443646152</v>
      </c>
      <c r="AY356">
        <f t="shared" si="312"/>
        <v>-2.5841520993876324</v>
      </c>
      <c r="BA356">
        <f t="shared" si="289"/>
        <v>1.6001829502256468</v>
      </c>
      <c r="BB356">
        <f t="shared" si="305"/>
        <v>4.0833927747591483</v>
      </c>
      <c r="BC356">
        <f t="shared" si="306"/>
        <v>-0.33684692258165283</v>
      </c>
      <c r="BD356">
        <f t="shared" si="290"/>
        <v>-199.29990702795206</v>
      </c>
      <c r="BF356">
        <f t="shared" si="291"/>
        <v>-42.722148385507126</v>
      </c>
      <c r="BG356">
        <f t="shared" si="292"/>
        <v>-174.70333464578363</v>
      </c>
      <c r="BH356">
        <f t="shared" si="307"/>
        <v>5.2966653542163726</v>
      </c>
      <c r="BI356">
        <f t="shared" si="308"/>
        <v>5.2966653542163726</v>
      </c>
      <c r="BJ356">
        <f t="shared" si="293"/>
        <v>0</v>
      </c>
      <c r="BK356">
        <f t="shared" si="309"/>
        <v>0</v>
      </c>
      <c r="BM356">
        <f t="shared" si="310"/>
        <v>-46.805541160266273</v>
      </c>
      <c r="BN356">
        <f t="shared" si="294"/>
        <v>-155.4034276178316</v>
      </c>
      <c r="BQ356" s="56">
        <f t="shared" si="311"/>
        <v>20.985353575044282</v>
      </c>
      <c r="BR356" s="59"/>
      <c r="BS356" s="59"/>
      <c r="BT356" s="59">
        <v>288403.15000000002</v>
      </c>
      <c r="BU356" s="59">
        <v>14.961</v>
      </c>
      <c r="BV356" s="59">
        <v>-178.92099999999999</v>
      </c>
      <c r="BY356" s="59"/>
      <c r="BZ356" s="59"/>
      <c r="CA356" s="59"/>
      <c r="CC356" s="59"/>
    </row>
    <row r="357" spans="1:81" x14ac:dyDescent="0.2">
      <c r="A357">
        <f t="shared" si="263"/>
        <v>715000</v>
      </c>
      <c r="B357">
        <f t="shared" si="295"/>
        <v>715</v>
      </c>
      <c r="C357">
        <f t="shared" si="264"/>
        <v>1.0962771273435572</v>
      </c>
      <c r="D357">
        <f t="shared" si="265"/>
        <v>0.4222281774627884</v>
      </c>
      <c r="F357">
        <f t="shared" si="266"/>
        <v>2.7423528509989753E-4</v>
      </c>
      <c r="G357">
        <f t="shared" si="267"/>
        <v>9.6123570659104596E-3</v>
      </c>
      <c r="H357">
        <f t="shared" si="268"/>
        <v>-3.1319802929340899</v>
      </c>
      <c r="J357">
        <f t="shared" si="269"/>
        <v>15</v>
      </c>
      <c r="M357">
        <f t="shared" si="270"/>
        <v>1.1157610338696838E-3</v>
      </c>
      <c r="N357">
        <f t="shared" si="271"/>
        <v>-1.5707963250000001</v>
      </c>
      <c r="O357">
        <f t="shared" si="272"/>
        <v>80.870777750354335</v>
      </c>
      <c r="P357">
        <f t="shared" si="273"/>
        <v>1.5584306056598998</v>
      </c>
      <c r="Q357">
        <f t="shared" si="274"/>
        <v>85.091602883498865</v>
      </c>
      <c r="R357">
        <f t="shared" si="275"/>
        <v>1.5590440153334371</v>
      </c>
      <c r="S357">
        <f t="shared" si="276"/>
        <v>0.98454140576833327</v>
      </c>
      <c r="T357">
        <f t="shared" si="277"/>
        <v>-0.17606014459444211</v>
      </c>
      <c r="U357">
        <f t="shared" si="278"/>
        <v>0.22873175023436676</v>
      </c>
      <c r="V357">
        <f t="shared" si="279"/>
        <v>-1.3400216310785382</v>
      </c>
      <c r="X357">
        <f t="shared" si="296"/>
        <v>-42.161102017816035</v>
      </c>
      <c r="Y357">
        <f t="shared" si="280"/>
        <v>-153.50430843641362</v>
      </c>
      <c r="Z357">
        <f t="shared" si="297"/>
        <v>26.495691563586377</v>
      </c>
      <c r="AC357">
        <v>1</v>
      </c>
      <c r="AD357">
        <f t="shared" si="281"/>
        <v>80.864594811000018</v>
      </c>
      <c r="AE357">
        <f t="shared" si="282"/>
        <v>-0.36328237188595608</v>
      </c>
      <c r="AF357">
        <f t="shared" si="283"/>
        <v>8.5357072300499992E-2</v>
      </c>
      <c r="AG357">
        <f t="shared" si="298"/>
        <v>46.955958989334235</v>
      </c>
      <c r="AH357">
        <f t="shared" si="299"/>
        <v>-211.56152231007624</v>
      </c>
      <c r="AJ357">
        <f t="shared" si="284"/>
        <v>10500</v>
      </c>
      <c r="AK357">
        <f t="shared" si="285"/>
        <v>1867.9721401341003</v>
      </c>
      <c r="AL357">
        <v>1</v>
      </c>
      <c r="AM357">
        <f t="shared" si="286"/>
        <v>85.085726660134213</v>
      </c>
      <c r="AN357">
        <f t="shared" si="300"/>
        <v>23.40112895668263</v>
      </c>
      <c r="AO357">
        <f t="shared" si="301"/>
        <v>-123.12992181274969</v>
      </c>
      <c r="AQ357">
        <f t="shared" si="287"/>
        <v>4.8902122890056784E-3</v>
      </c>
      <c r="AR357">
        <f t="shared" si="288"/>
        <v>-6.9930035732781199</v>
      </c>
      <c r="AT357">
        <f t="shared" si="313"/>
        <v>-1479.2208568748301</v>
      </c>
      <c r="AU357">
        <f t="shared" si="314"/>
        <v>-329.39776975539661</v>
      </c>
      <c r="AV357">
        <f t="shared" si="302"/>
        <v>-2.922484378423122</v>
      </c>
      <c r="AW357">
        <f t="shared" si="303"/>
        <v>-803.05182440411261</v>
      </c>
      <c r="AX357">
        <f t="shared" si="304"/>
        <v>-504.30398500486751</v>
      </c>
      <c r="AY357">
        <f t="shared" si="312"/>
        <v>-2.5808501604015786</v>
      </c>
      <c r="BA357">
        <f t="shared" si="289"/>
        <v>1.598124868425129</v>
      </c>
      <c r="BB357">
        <f t="shared" si="305"/>
        <v>4.0722141922921526</v>
      </c>
      <c r="BC357">
        <f t="shared" si="306"/>
        <v>-0.34163421802154348</v>
      </c>
      <c r="BD357">
        <f t="shared" si="290"/>
        <v>-199.57419885225343</v>
      </c>
      <c r="BF357">
        <f t="shared" si="291"/>
        <v>-42.845086893877628</v>
      </c>
      <c r="BG357">
        <f t="shared" si="292"/>
        <v>-174.83155877281288</v>
      </c>
      <c r="BH357">
        <f t="shared" si="307"/>
        <v>5.1684412271871167</v>
      </c>
      <c r="BI357">
        <f t="shared" si="308"/>
        <v>5.1684412271871167</v>
      </c>
      <c r="BJ357">
        <f t="shared" si="293"/>
        <v>0</v>
      </c>
      <c r="BK357">
        <f t="shared" si="309"/>
        <v>0</v>
      </c>
      <c r="BM357">
        <f t="shared" si="310"/>
        <v>-46.917301086169772</v>
      </c>
      <c r="BN357">
        <f t="shared" si="294"/>
        <v>-155.25735992055948</v>
      </c>
      <c r="BQ357" s="56">
        <f t="shared" si="311"/>
        <v>20.974174992577289</v>
      </c>
      <c r="BR357" s="59"/>
      <c r="BS357" s="59"/>
      <c r="BT357" s="59">
        <v>295120.92300000001</v>
      </c>
      <c r="BU357" s="59">
        <v>14.946199999999999</v>
      </c>
      <c r="BV357" s="59">
        <v>-181.99</v>
      </c>
      <c r="BW357" s="61"/>
      <c r="BY357" s="59"/>
      <c r="BZ357" s="59"/>
      <c r="CA357" s="59"/>
      <c r="CC357" s="59"/>
    </row>
    <row r="358" spans="1:81" x14ac:dyDescent="0.2">
      <c r="A358">
        <f t="shared" si="263"/>
        <v>720000</v>
      </c>
      <c r="B358">
        <f t="shared" si="295"/>
        <v>720</v>
      </c>
      <c r="C358">
        <f t="shared" si="264"/>
        <v>1.0975682741375508</v>
      </c>
      <c r="D358">
        <f t="shared" si="265"/>
        <v>0.42483912693617942</v>
      </c>
      <c r="F358">
        <f t="shared" si="266"/>
        <v>2.7043881273655076E-4</v>
      </c>
      <c r="G358">
        <f t="shared" si="267"/>
        <v>9.5455717000629756E-3</v>
      </c>
      <c r="H358">
        <f t="shared" si="268"/>
        <v>-3.1320470782999372</v>
      </c>
      <c r="J358">
        <f t="shared" si="269"/>
        <v>15</v>
      </c>
      <c r="M358">
        <f t="shared" si="270"/>
        <v>1.1080126933567E-3</v>
      </c>
      <c r="N358">
        <f t="shared" si="271"/>
        <v>-1.5707963250000001</v>
      </c>
      <c r="O358">
        <f t="shared" si="272"/>
        <v>81.43622149352413</v>
      </c>
      <c r="P358">
        <f t="shared" si="273"/>
        <v>1.5585164700606065</v>
      </c>
      <c r="Q358">
        <f t="shared" si="274"/>
        <v>85.686567160720315</v>
      </c>
      <c r="R358">
        <f t="shared" si="275"/>
        <v>1.5591256211709921</v>
      </c>
      <c r="S358">
        <f t="shared" si="276"/>
        <v>0.98432951903910226</v>
      </c>
      <c r="T358">
        <f t="shared" si="277"/>
        <v>-0.17726579017406152</v>
      </c>
      <c r="U358">
        <f t="shared" si="278"/>
        <v>0.22722561937136909</v>
      </c>
      <c r="V358">
        <f t="shared" si="279"/>
        <v>-1.3415684970956676</v>
      </c>
      <c r="X358">
        <f t="shared" si="296"/>
        <v>-42.270705505854302</v>
      </c>
      <c r="Y358">
        <f t="shared" si="280"/>
        <v>-153.50665053037346</v>
      </c>
      <c r="Z358">
        <f t="shared" si="297"/>
        <v>26.493349469626537</v>
      </c>
      <c r="AC358">
        <v>1</v>
      </c>
      <c r="AD358">
        <f t="shared" si="281"/>
        <v>81.430081488000013</v>
      </c>
      <c r="AE358">
        <f t="shared" si="282"/>
        <v>-0.36838100950790681</v>
      </c>
      <c r="AF358">
        <f t="shared" si="283"/>
        <v>8.5953974904000002E-2</v>
      </c>
      <c r="AG358">
        <f t="shared" si="298"/>
        <v>46.339612742325578</v>
      </c>
      <c r="AH358">
        <f t="shared" si="299"/>
        <v>-210.23615652918937</v>
      </c>
      <c r="AJ358">
        <f t="shared" si="284"/>
        <v>10500</v>
      </c>
      <c r="AK358">
        <f t="shared" si="285"/>
        <v>1881.0348823728004</v>
      </c>
      <c r="AL358">
        <v>1</v>
      </c>
      <c r="AM358">
        <f t="shared" si="286"/>
        <v>85.680731741673611</v>
      </c>
      <c r="AN358">
        <f t="shared" si="300"/>
        <v>23.381102475382779</v>
      </c>
      <c r="AO358">
        <f t="shared" si="301"/>
        <v>-122.27508664505223</v>
      </c>
      <c r="AQ358">
        <f t="shared" si="287"/>
        <v>4.822528538518259E-3</v>
      </c>
      <c r="AR358">
        <f t="shared" si="288"/>
        <v>-6.944441095466293</v>
      </c>
      <c r="AT358">
        <f t="shared" si="313"/>
        <v>-1459.749131049273</v>
      </c>
      <c r="AU358">
        <f t="shared" si="314"/>
        <v>-322.81658094048964</v>
      </c>
      <c r="AV358">
        <f t="shared" si="302"/>
        <v>-2.9239502362920424</v>
      </c>
      <c r="AW358">
        <f t="shared" si="303"/>
        <v>-791.61025190861017</v>
      </c>
      <c r="AX358">
        <f t="shared" si="304"/>
        <v>-500.76047379799678</v>
      </c>
      <c r="AY358">
        <f t="shared" si="312"/>
        <v>-2.5775578088427475</v>
      </c>
      <c r="BA358">
        <f t="shared" si="289"/>
        <v>1.5960466929508434</v>
      </c>
      <c r="BB358">
        <f t="shared" si="305"/>
        <v>4.0609118530042965</v>
      </c>
      <c r="BC358">
        <f t="shared" si="306"/>
        <v>-0.34639242744929488</v>
      </c>
      <c r="BD358">
        <f t="shared" si="290"/>
        <v>-199.84682417081447</v>
      </c>
      <c r="BF358">
        <f t="shared" si="291"/>
        <v>-42.967251652676161</v>
      </c>
      <c r="BG358">
        <f t="shared" si="292"/>
        <v>-174.95841422545647</v>
      </c>
      <c r="BH358">
        <f t="shared" si="307"/>
        <v>5.0415857745435346</v>
      </c>
      <c r="BI358">
        <f t="shared" si="308"/>
        <v>5.0415857745435346</v>
      </c>
      <c r="BJ358">
        <f t="shared" si="293"/>
        <v>0</v>
      </c>
      <c r="BK358">
        <f t="shared" si="309"/>
        <v>0</v>
      </c>
      <c r="BM358">
        <f t="shared" si="310"/>
        <v>-47.028163505680453</v>
      </c>
      <c r="BN358">
        <f t="shared" si="294"/>
        <v>-155.11159005464199</v>
      </c>
      <c r="BQ358" s="56">
        <f t="shared" si="311"/>
        <v>20.962872653289434</v>
      </c>
      <c r="BR358" s="59"/>
      <c r="BS358" s="59"/>
      <c r="BT358" s="59">
        <v>301995.17200000002</v>
      </c>
      <c r="BU358" s="59">
        <v>15.1762</v>
      </c>
      <c r="BV358" s="59">
        <v>-183.36099999999999</v>
      </c>
      <c r="BW358" s="61"/>
      <c r="BY358" s="59"/>
      <c r="BZ358" s="59"/>
      <c r="CA358" s="59"/>
      <c r="CC358" s="59"/>
    </row>
    <row r="359" spans="1:81" x14ac:dyDescent="0.2">
      <c r="A359">
        <f t="shared" si="263"/>
        <v>725000</v>
      </c>
      <c r="B359">
        <f t="shared" si="295"/>
        <v>725</v>
      </c>
      <c r="C359">
        <f t="shared" si="264"/>
        <v>1.0988668855046446</v>
      </c>
      <c r="D359">
        <f t="shared" si="265"/>
        <v>0.42744392303184381</v>
      </c>
      <c r="F359">
        <f t="shared" si="266"/>
        <v>2.6672064069337376E-4</v>
      </c>
      <c r="G359">
        <f t="shared" si="267"/>
        <v>9.4797081852453328E-3</v>
      </c>
      <c r="H359">
        <f t="shared" si="268"/>
        <v>-3.1321129418147549</v>
      </c>
      <c r="J359">
        <f t="shared" si="269"/>
        <v>15</v>
      </c>
      <c r="M359">
        <f t="shared" si="270"/>
        <v>1.1003712265059643E-3</v>
      </c>
      <c r="N359">
        <f t="shared" si="271"/>
        <v>-1.5707963250000001</v>
      </c>
      <c r="O359">
        <f t="shared" si="272"/>
        <v>82.001665828818133</v>
      </c>
      <c r="P359">
        <f t="shared" si="273"/>
        <v>1.5586011503021089</v>
      </c>
      <c r="Q359">
        <f t="shared" si="274"/>
        <v>86.281532000702853</v>
      </c>
      <c r="R359">
        <f t="shared" si="275"/>
        <v>1.559206101563041</v>
      </c>
      <c r="S359">
        <f t="shared" si="276"/>
        <v>0.98411629392353084</v>
      </c>
      <c r="T359">
        <f t="shared" si="277"/>
        <v>-0.1784709151717514</v>
      </c>
      <c r="U359">
        <f t="shared" si="278"/>
        <v>0.22573866401643849</v>
      </c>
      <c r="V359">
        <f t="shared" si="279"/>
        <v>-1.3430951214674076</v>
      </c>
      <c r="X359">
        <f t="shared" si="296"/>
        <v>-42.379498160113684</v>
      </c>
      <c r="Y359">
        <f t="shared" si="280"/>
        <v>-153.50823511133615</v>
      </c>
      <c r="Z359">
        <f t="shared" si="297"/>
        <v>26.491764888663852</v>
      </c>
      <c r="AC359">
        <v>1</v>
      </c>
      <c r="AD359">
        <f t="shared" si="281"/>
        <v>81.995568165000009</v>
      </c>
      <c r="AE359">
        <f t="shared" si="282"/>
        <v>-0.3735151777056202</v>
      </c>
      <c r="AF359">
        <f t="shared" si="283"/>
        <v>8.6550877507499999E-2</v>
      </c>
      <c r="AG359">
        <f t="shared" si="298"/>
        <v>45.735108022006038</v>
      </c>
      <c r="AH359">
        <f t="shared" si="299"/>
        <v>-208.92632773894607</v>
      </c>
      <c r="AJ359">
        <f t="shared" si="284"/>
        <v>10500</v>
      </c>
      <c r="AK359">
        <f t="shared" si="285"/>
        <v>1894.0976246115004</v>
      </c>
      <c r="AL359">
        <v>1</v>
      </c>
      <c r="AM359">
        <f t="shared" si="286"/>
        <v>86.275736823213009</v>
      </c>
      <c r="AN359">
        <f t="shared" si="300"/>
        <v>23.36148883044234</v>
      </c>
      <c r="AO359">
        <f t="shared" si="301"/>
        <v>-121.43203752217339</v>
      </c>
      <c r="AQ359">
        <f t="shared" si="287"/>
        <v>4.7562403061877263E-3</v>
      </c>
      <c r="AR359">
        <f t="shared" si="288"/>
        <v>-6.8965484439722022</v>
      </c>
      <c r="AT359">
        <f t="shared" si="313"/>
        <v>-1440.6530133086728</v>
      </c>
      <c r="AU359">
        <f t="shared" si="314"/>
        <v>-316.40809188508206</v>
      </c>
      <c r="AV359">
        <f t="shared" si="302"/>
        <v>-2.925396969692017</v>
      </c>
      <c r="AW359">
        <f t="shared" si="303"/>
        <v>-780.40517444175794</v>
      </c>
      <c r="AX359">
        <f t="shared" si="304"/>
        <v>-497.26683336753979</v>
      </c>
      <c r="AY359">
        <f t="shared" si="312"/>
        <v>-2.5742750602639681</v>
      </c>
      <c r="BA359">
        <f t="shared" si="289"/>
        <v>1.5939489724476859</v>
      </c>
      <c r="BB359">
        <f t="shared" si="305"/>
        <v>4.0494882817399596</v>
      </c>
      <c r="BC359">
        <f t="shared" si="306"/>
        <v>-0.35112190942804888</v>
      </c>
      <c r="BD359">
        <f t="shared" si="290"/>
        <v>-200.1178035277899</v>
      </c>
      <c r="BF359">
        <f t="shared" si="291"/>
        <v>-43.088652301722789</v>
      </c>
      <c r="BG359">
        <f t="shared" si="292"/>
        <v>-175.08392346091489</v>
      </c>
      <c r="BH359">
        <f t="shared" si="307"/>
        <v>4.9160765390851111</v>
      </c>
      <c r="BI359">
        <f t="shared" si="308"/>
        <v>4.9160765390851111</v>
      </c>
      <c r="BJ359">
        <f t="shared" si="293"/>
        <v>0</v>
      </c>
      <c r="BK359">
        <f t="shared" si="309"/>
        <v>0</v>
      </c>
      <c r="BM359">
        <f t="shared" si="310"/>
        <v>-47.138140583462743</v>
      </c>
      <c r="BN359">
        <f t="shared" si="294"/>
        <v>-154.96611993312499</v>
      </c>
      <c r="BQ359" s="56">
        <f t="shared" si="311"/>
        <v>20.951449082025096</v>
      </c>
      <c r="BR359" s="59"/>
      <c r="BS359" s="59"/>
      <c r="BT359" s="59">
        <v>309029.54300000001</v>
      </c>
      <c r="BU359" s="59">
        <v>15.284700000000001</v>
      </c>
      <c r="BV359" s="59">
        <v>-186.209</v>
      </c>
      <c r="BW359" s="61"/>
      <c r="BY359" s="59"/>
      <c r="BZ359" s="59"/>
      <c r="CA359" s="59"/>
      <c r="CC359" s="59"/>
    </row>
    <row r="360" spans="1:81" x14ac:dyDescent="0.2">
      <c r="A360">
        <f t="shared" si="263"/>
        <v>730000</v>
      </c>
      <c r="B360">
        <f t="shared" si="295"/>
        <v>730</v>
      </c>
      <c r="C360">
        <f t="shared" si="264"/>
        <v>1.1001729350119605</v>
      </c>
      <c r="D360">
        <f t="shared" si="265"/>
        <v>0.4300425522554191</v>
      </c>
      <c r="F360">
        <f t="shared" si="266"/>
        <v>2.6307863031613428E-4</v>
      </c>
      <c r="G360">
        <f t="shared" si="267"/>
        <v>9.4147475610420386E-3</v>
      </c>
      <c r="H360">
        <f t="shared" si="268"/>
        <v>-3.1321779024389582</v>
      </c>
      <c r="J360">
        <f t="shared" si="269"/>
        <v>15</v>
      </c>
      <c r="M360">
        <f t="shared" si="270"/>
        <v>1.0928344372833207E-3</v>
      </c>
      <c r="N360">
        <f t="shared" si="271"/>
        <v>-1.5707963250000001</v>
      </c>
      <c r="O360">
        <f t="shared" si="272"/>
        <v>82.567110744071272</v>
      </c>
      <c r="P360">
        <f t="shared" si="273"/>
        <v>1.5586846707116371</v>
      </c>
      <c r="Q360">
        <f t="shared" si="274"/>
        <v>86.876497391884442</v>
      </c>
      <c r="R360">
        <f t="shared" si="275"/>
        <v>1.5592854796310482</v>
      </c>
      <c r="S360">
        <f t="shared" si="276"/>
        <v>0.98390173314861562</v>
      </c>
      <c r="T360">
        <f t="shared" si="277"/>
        <v>-0.17967551642641647</v>
      </c>
      <c r="U360">
        <f t="shared" si="278"/>
        <v>0.22427053075922648</v>
      </c>
      <c r="V360">
        <f t="shared" si="279"/>
        <v>-1.344601891943513</v>
      </c>
      <c r="X360">
        <f t="shared" si="296"/>
        <v>-42.487490256444573</v>
      </c>
      <c r="Y360">
        <f t="shared" si="280"/>
        <v>-153.50908335552063</v>
      </c>
      <c r="Z360">
        <f t="shared" si="297"/>
        <v>26.49091664447937</v>
      </c>
      <c r="AC360">
        <v>1</v>
      </c>
      <c r="AD360">
        <f t="shared" si="281"/>
        <v>82.561054842000004</v>
      </c>
      <c r="AE360">
        <f t="shared" si="282"/>
        <v>-0.37868487647909632</v>
      </c>
      <c r="AF360">
        <f t="shared" si="283"/>
        <v>8.7147780110999995E-2</v>
      </c>
      <c r="AG360">
        <f t="shared" ref="AG360:AG423" si="315">AC360*AE360/(AE360^2+AF360^2)+AD360*AF360/(AE360^2+AF360^2)</f>
        <v>45.142149011956064</v>
      </c>
      <c r="AH360">
        <f t="shared" ref="AH360:AH423" si="316">AD360*AE360/(AE360^2+AF360^2)-AC360*AF360/(AE360^2+AF360^2)</f>
        <v>-207.63178476315079</v>
      </c>
      <c r="AJ360">
        <f t="shared" si="284"/>
        <v>10500</v>
      </c>
      <c r="AK360">
        <f t="shared" si="285"/>
        <v>1907.1603668502</v>
      </c>
      <c r="AL360">
        <v>1</v>
      </c>
      <c r="AM360">
        <f t="shared" si="286"/>
        <v>86.870741904752407</v>
      </c>
      <c r="AN360">
        <f t="shared" ref="AN360:AN423" si="317">AJ360*AL360/(AL360^2+AM360^2)+AK360*AM360/(AL360^2+AM360^2)</f>
        <v>23.342276752607113</v>
      </c>
      <c r="AO360">
        <f t="shared" ref="AO360:AO423" si="318">AK360*AL360/(AL360^2+AM360^2)-AJ360*AM360/(AL360^2+AM360^2)</f>
        <v>-120.60053239483443</v>
      </c>
      <c r="AQ360">
        <f t="shared" si="287"/>
        <v>4.691309489909228E-3</v>
      </c>
      <c r="AR360">
        <f t="shared" si="288"/>
        <v>-6.849311855267473</v>
      </c>
      <c r="AT360">
        <f t="shared" si="313"/>
        <v>-1421.9230691165383</v>
      </c>
      <c r="AU360">
        <f t="shared" si="314"/>
        <v>-310.16672136210764</v>
      </c>
      <c r="AV360">
        <f t="shared" si="302"/>
        <v>-2.9268249434219276</v>
      </c>
      <c r="AW360">
        <f t="shared" si="303"/>
        <v>-769.43011629904015</v>
      </c>
      <c r="AX360">
        <f t="shared" si="304"/>
        <v>-493.82200736409743</v>
      </c>
      <c r="AY360">
        <f t="shared" si="312"/>
        <v>-2.5710019290185739</v>
      </c>
      <c r="BA360">
        <f t="shared" si="289"/>
        <v>1.5918322424190301</v>
      </c>
      <c r="BB360">
        <f t="shared" si="305"/>
        <v>4.0379459410153382</v>
      </c>
      <c r="BC360">
        <f t="shared" si="306"/>
        <v>-0.35582301440335362</v>
      </c>
      <c r="BD360">
        <f t="shared" si="290"/>
        <v>-200.38715700223059</v>
      </c>
      <c r="BF360">
        <f t="shared" si="291"/>
        <v>-43.209298299712557</v>
      </c>
      <c r="BG360">
        <f t="shared" si="292"/>
        <v>-175.20810841776085</v>
      </c>
      <c r="BH360">
        <f t="shared" si="307"/>
        <v>4.7918915822391455</v>
      </c>
      <c r="BI360">
        <f t="shared" si="308"/>
        <v>4.7918915822391455</v>
      </c>
      <c r="BJ360">
        <f t="shared" si="293"/>
        <v>0</v>
      </c>
      <c r="BK360">
        <f t="shared" si="309"/>
        <v>0</v>
      </c>
      <c r="BM360">
        <f t="shared" si="310"/>
        <v>-47.247244240727895</v>
      </c>
      <c r="BN360">
        <f t="shared" si="294"/>
        <v>-154.82095141553029</v>
      </c>
      <c r="BQ360" s="56">
        <f t="shared" si="311"/>
        <v>20.939906741300476</v>
      </c>
      <c r="BR360" s="59"/>
      <c r="BS360" s="59"/>
      <c r="BT360" s="59">
        <v>316227.766</v>
      </c>
      <c r="BU360" s="59">
        <v>15.331799999999999</v>
      </c>
      <c r="BV360" s="59">
        <v>-189.75</v>
      </c>
      <c r="BW360" s="61"/>
      <c r="BY360" s="59"/>
      <c r="BZ360" s="59"/>
      <c r="CA360" s="59"/>
      <c r="CC360" s="59"/>
    </row>
    <row r="361" spans="1:81" x14ac:dyDescent="0.2">
      <c r="A361">
        <f t="shared" si="263"/>
        <v>735000</v>
      </c>
      <c r="B361">
        <f t="shared" si="295"/>
        <v>735</v>
      </c>
      <c r="C361">
        <f t="shared" si="264"/>
        <v>1.1014863962009434</v>
      </c>
      <c r="D361">
        <f t="shared" si="265"/>
        <v>0.43263500150951095</v>
      </c>
      <c r="F361">
        <f t="shared" si="266"/>
        <v>2.5951071547802282E-4</v>
      </c>
      <c r="G361">
        <f t="shared" si="267"/>
        <v>9.3506713835826462E-3</v>
      </c>
      <c r="H361">
        <f t="shared" si="268"/>
        <v>-3.1322419786164177</v>
      </c>
      <c r="J361">
        <f t="shared" si="269"/>
        <v>15</v>
      </c>
      <c r="M361">
        <f t="shared" si="270"/>
        <v>1.085400189410645E-3</v>
      </c>
      <c r="N361">
        <f t="shared" si="271"/>
        <v>-1.5707963250000001</v>
      </c>
      <c r="O361">
        <f t="shared" si="272"/>
        <v>83.132556227449371</v>
      </c>
      <c r="P361">
        <f t="shared" si="273"/>
        <v>1.5587670549546169</v>
      </c>
      <c r="Q361">
        <f t="shared" si="274"/>
        <v>87.471463323017602</v>
      </c>
      <c r="R361">
        <f t="shared" si="275"/>
        <v>1.5593637778674623</v>
      </c>
      <c r="S361">
        <f t="shared" si="276"/>
        <v>0.98368583945521282</v>
      </c>
      <c r="T361">
        <f t="shared" si="277"/>
        <v>-0.18087959078578833</v>
      </c>
      <c r="U361">
        <f t="shared" si="278"/>
        <v>0.22282087454221491</v>
      </c>
      <c r="V361">
        <f t="shared" si="279"/>
        <v>-1.3460891866141893</v>
      </c>
      <c r="X361">
        <f t="shared" si="296"/>
        <v>-42.594691886237371</v>
      </c>
      <c r="Y361">
        <f t="shared" si="280"/>
        <v>-153.50921590781826</v>
      </c>
      <c r="Z361">
        <f t="shared" si="297"/>
        <v>26.490784092181741</v>
      </c>
      <c r="AC361">
        <v>1</v>
      </c>
      <c r="AD361">
        <f t="shared" si="281"/>
        <v>83.126541519000014</v>
      </c>
      <c r="AE361">
        <f t="shared" si="282"/>
        <v>-0.38389010582833516</v>
      </c>
      <c r="AF361">
        <f t="shared" si="283"/>
        <v>8.7744682714499991E-2</v>
      </c>
      <c r="AG361">
        <f t="shared" si="315"/>
        <v>44.560448893876483</v>
      </c>
      <c r="AH361">
        <f t="shared" si="316"/>
        <v>-206.35228120365929</v>
      </c>
      <c r="AJ361">
        <f t="shared" si="284"/>
        <v>10500</v>
      </c>
      <c r="AK361">
        <f t="shared" si="285"/>
        <v>1920.2231090889002</v>
      </c>
      <c r="AL361">
        <v>1</v>
      </c>
      <c r="AM361">
        <f t="shared" si="286"/>
        <v>87.465746986291819</v>
      </c>
      <c r="AN361">
        <f t="shared" si="317"/>
        <v>23.323455354521666</v>
      </c>
      <c r="AO361">
        <f t="shared" si="318"/>
        <v>-119.78033579576527</v>
      </c>
      <c r="AQ361">
        <f t="shared" si="287"/>
        <v>4.627699279143283E-3</v>
      </c>
      <c r="AR361">
        <f t="shared" si="288"/>
        <v>-6.8027179403406262</v>
      </c>
      <c r="AT361">
        <f t="shared" si="313"/>
        <v>-1403.5501530171223</v>
      </c>
      <c r="AU361">
        <f t="shared" si="314"/>
        <v>-304.08710142298088</v>
      </c>
      <c r="AV361">
        <f t="shared" si="302"/>
        <v>-2.9282345132454584</v>
      </c>
      <c r="AW361">
        <f t="shared" si="303"/>
        <v>-758.6788219791689</v>
      </c>
      <c r="AX361">
        <f t="shared" si="304"/>
        <v>-490.42496941881819</v>
      </c>
      <c r="AY361">
        <f t="shared" si="312"/>
        <v>-2.5677384282902547</v>
      </c>
      <c r="BA361">
        <f t="shared" si="289"/>
        <v>1.5896970256436922</v>
      </c>
      <c r="BB361">
        <f t="shared" si="305"/>
        <v>4.0262872332142789</v>
      </c>
      <c r="BC361">
        <f t="shared" si="306"/>
        <v>-0.36049608495520369</v>
      </c>
      <c r="BD361">
        <f t="shared" si="290"/>
        <v>-200.65490422252441</v>
      </c>
      <c r="BF361">
        <f t="shared" si="291"/>
        <v>-43.329198928628387</v>
      </c>
      <c r="BG361">
        <f t="shared" si="292"/>
        <v>-175.3309905315636</v>
      </c>
      <c r="BH361">
        <f t="shared" si="307"/>
        <v>4.6690094684363999</v>
      </c>
      <c r="BI361">
        <f t="shared" si="308"/>
        <v>4.6690094684363999</v>
      </c>
      <c r="BJ361">
        <f t="shared" si="293"/>
        <v>0</v>
      </c>
      <c r="BK361">
        <f t="shared" si="309"/>
        <v>0</v>
      </c>
      <c r="BM361">
        <f t="shared" si="310"/>
        <v>-47.355486161842663</v>
      </c>
      <c r="BN361">
        <f t="shared" si="294"/>
        <v>-154.67608630903919</v>
      </c>
      <c r="BQ361" s="56">
        <f t="shared" si="311"/>
        <v>20.928248033499415</v>
      </c>
      <c r="BR361" s="59"/>
      <c r="BS361" s="59"/>
      <c r="BT361" s="59">
        <v>323593.65700000001</v>
      </c>
      <c r="BU361" s="59">
        <v>15.3347</v>
      </c>
      <c r="BV361" s="59">
        <v>-192.398</v>
      </c>
      <c r="BW361" s="61"/>
      <c r="BY361" s="59"/>
      <c r="BZ361" s="59"/>
      <c r="CA361" s="59"/>
      <c r="CC361" s="59"/>
    </row>
    <row r="362" spans="1:81" x14ac:dyDescent="0.2">
      <c r="A362">
        <f t="shared" si="263"/>
        <v>740000</v>
      </c>
      <c r="B362">
        <f t="shared" si="295"/>
        <v>740</v>
      </c>
      <c r="C362">
        <f t="shared" si="264"/>
        <v>1.1028072425892974</v>
      </c>
      <c r="D362">
        <f t="shared" si="265"/>
        <v>0.43522125809121653</v>
      </c>
      <c r="F362">
        <f t="shared" si="266"/>
        <v>2.5601489964782037E-4</v>
      </c>
      <c r="G362">
        <f t="shared" si="267"/>
        <v>9.2874617080662206E-3</v>
      </c>
      <c r="H362">
        <f t="shared" si="268"/>
        <v>-3.1323051882919342</v>
      </c>
      <c r="J362">
        <f t="shared" si="269"/>
        <v>15</v>
      </c>
      <c r="M362">
        <f t="shared" si="270"/>
        <v>1.0780664043470594E-3</v>
      </c>
      <c r="N362">
        <f t="shared" si="271"/>
        <v>-1.5707963250000001</v>
      </c>
      <c r="O362">
        <f t="shared" si="272"/>
        <v>83.698002267438014</v>
      </c>
      <c r="P362">
        <f t="shared" si="273"/>
        <v>1.5588483260570234</v>
      </c>
      <c r="Q362">
        <f t="shared" si="274"/>
        <v>88.066429783158796</v>
      </c>
      <c r="R362">
        <f t="shared" si="275"/>
        <v>1.5594410181569593</v>
      </c>
      <c r="S362">
        <f t="shared" si="276"/>
        <v>0.98346861559794507</v>
      </c>
      <c r="T362">
        <f t="shared" si="277"/>
        <v>-0.18208313510646668</v>
      </c>
      <c r="U362">
        <f t="shared" si="278"/>
        <v>0.22138935842476901</v>
      </c>
      <c r="V362">
        <f t="shared" si="279"/>
        <v>-1.3475573742031512</v>
      </c>
      <c r="X362">
        <f t="shared" si="296"/>
        <v>-42.701112960808146</v>
      </c>
      <c r="Y362">
        <f t="shared" si="280"/>
        <v>-153.5086528972314</v>
      </c>
      <c r="Z362">
        <f t="shared" si="297"/>
        <v>26.4913471027686</v>
      </c>
      <c r="AC362">
        <v>1</v>
      </c>
      <c r="AD362">
        <f t="shared" si="281"/>
        <v>83.69202819600001</v>
      </c>
      <c r="AE362">
        <f t="shared" si="282"/>
        <v>-0.38913086575333672</v>
      </c>
      <c r="AF362">
        <f t="shared" si="283"/>
        <v>8.8341585317999988E-2</v>
      </c>
      <c r="AG362">
        <f t="shared" si="315"/>
        <v>43.989729528223783</v>
      </c>
      <c r="AH362">
        <f t="shared" si="316"/>
        <v>-205.08757535146097</v>
      </c>
      <c r="AJ362">
        <f t="shared" si="284"/>
        <v>10500</v>
      </c>
      <c r="AK362">
        <f t="shared" si="285"/>
        <v>1933.2858513276001</v>
      </c>
      <c r="AL362">
        <v>1</v>
      </c>
      <c r="AM362">
        <f t="shared" si="286"/>
        <v>88.060752067831203</v>
      </c>
      <c r="AN362">
        <f t="shared" si="317"/>
        <v>23.305014115304257</v>
      </c>
      <c r="AO362">
        <f t="shared" si="318"/>
        <v>-118.97121861751458</v>
      </c>
      <c r="AQ362">
        <f t="shared" si="287"/>
        <v>4.5653741027327872E-3</v>
      </c>
      <c r="AR362">
        <f t="shared" si="288"/>
        <v>-6.7567536720445256</v>
      </c>
      <c r="AT362">
        <f t="shared" si="313"/>
        <v>-1385.5253982747179</v>
      </c>
      <c r="AU362">
        <f t="shared" si="314"/>
        <v>-298.16406802737333</v>
      </c>
      <c r="AV362">
        <f t="shared" si="302"/>
        <v>-2.9296260261630693</v>
      </c>
      <c r="AW362">
        <f t="shared" si="303"/>
        <v>-748.14524725771525</v>
      </c>
      <c r="AX362">
        <f t="shared" si="304"/>
        <v>-487.07472207358757</v>
      </c>
      <c r="AY362">
        <f t="shared" si="312"/>
        <v>-2.5644845701219205</v>
      </c>
      <c r="BA362">
        <f t="shared" si="289"/>
        <v>1.587543832575675</v>
      </c>
      <c r="BB362">
        <f t="shared" si="305"/>
        <v>4.0145145026874154</v>
      </c>
      <c r="BC362">
        <f t="shared" si="306"/>
        <v>-0.36514145604114878</v>
      </c>
      <c r="BD362">
        <f t="shared" si="290"/>
        <v>-200.9210643803253</v>
      </c>
      <c r="BF362">
        <f t="shared" si="291"/>
        <v>-43.448363298025598</v>
      </c>
      <c r="BG362">
        <f t="shared" si="292"/>
        <v>-175.45259074996113</v>
      </c>
      <c r="BH362">
        <f t="shared" si="307"/>
        <v>4.5474092500388679</v>
      </c>
      <c r="BI362">
        <f t="shared" si="308"/>
        <v>4.5474092500388679</v>
      </c>
      <c r="BJ362">
        <f t="shared" si="293"/>
        <v>0</v>
      </c>
      <c r="BK362">
        <f t="shared" si="309"/>
        <v>0</v>
      </c>
      <c r="BM362">
        <f t="shared" si="310"/>
        <v>-47.462877800713017</v>
      </c>
      <c r="BN362">
        <f t="shared" si="294"/>
        <v>-154.53152636963583</v>
      </c>
      <c r="BQ362" s="56">
        <f t="shared" si="311"/>
        <v>20.916475302972554</v>
      </c>
      <c r="BR362" s="59"/>
      <c r="BS362" s="59"/>
      <c r="BT362" s="59">
        <v>331131.12099999998</v>
      </c>
      <c r="BU362" s="59">
        <v>15.331</v>
      </c>
      <c r="BV362" s="59">
        <v>-194.60300000000001</v>
      </c>
      <c r="BW362" s="61"/>
      <c r="BY362" s="59"/>
      <c r="BZ362" s="59"/>
      <c r="CA362" s="59"/>
      <c r="CC362" s="59"/>
    </row>
    <row r="363" spans="1:81" x14ac:dyDescent="0.2">
      <c r="A363">
        <f t="shared" si="263"/>
        <v>745000</v>
      </c>
      <c r="B363">
        <f t="shared" si="295"/>
        <v>745</v>
      </c>
      <c r="C363">
        <f t="shared" si="264"/>
        <v>1.1041354476728995</v>
      </c>
      <c r="D363">
        <f t="shared" si="265"/>
        <v>0.43780130968961206</v>
      </c>
      <c r="F363">
        <f t="shared" si="266"/>
        <v>2.5258925309541767E-4</v>
      </c>
      <c r="G363">
        <f t="shared" si="267"/>
        <v>9.2251010719906421E-3</v>
      </c>
      <c r="H363">
        <f t="shared" si="268"/>
        <v>-3.1323675489280096</v>
      </c>
      <c r="J363">
        <f t="shared" si="269"/>
        <v>15</v>
      </c>
      <c r="M363">
        <f t="shared" si="270"/>
        <v>1.0708310593514417E-3</v>
      </c>
      <c r="N363">
        <f t="shared" si="271"/>
        <v>-1.5707963250000001</v>
      </c>
      <c r="O363">
        <f t="shared" si="272"/>
        <v>84.263448852831885</v>
      </c>
      <c r="P363">
        <f t="shared" si="273"/>
        <v>1.5589285064268308</v>
      </c>
      <c r="Q363">
        <f t="shared" si="274"/>
        <v>88.66139676165821</v>
      </c>
      <c r="R363">
        <f t="shared" si="275"/>
        <v>1.5595172217968341</v>
      </c>
      <c r="S363">
        <f t="shared" si="276"/>
        <v>0.98325006434510742</v>
      </c>
      <c r="T363">
        <f t="shared" si="277"/>
        <v>-0.18328614625396014</v>
      </c>
      <c r="U363">
        <f t="shared" si="278"/>
        <v>0.21997565335475927</v>
      </c>
      <c r="V363">
        <f t="shared" si="279"/>
        <v>-1.3490068143503031</v>
      </c>
      <c r="X363">
        <f t="shared" si="296"/>
        <v>-42.806763215656012</v>
      </c>
      <c r="Y363">
        <f t="shared" si="280"/>
        <v>-153.50741395177991</v>
      </c>
      <c r="Z363">
        <f t="shared" si="297"/>
        <v>26.49258604822009</v>
      </c>
      <c r="AC363">
        <v>1</v>
      </c>
      <c r="AD363">
        <f t="shared" si="281"/>
        <v>84.257514873000005</v>
      </c>
      <c r="AE363">
        <f t="shared" si="282"/>
        <v>-0.394407156254101</v>
      </c>
      <c r="AF363">
        <f t="shared" si="283"/>
        <v>8.8938487921499998E-2</v>
      </c>
      <c r="AG363">
        <f t="shared" si="315"/>
        <v>43.429721147668793</v>
      </c>
      <c r="AH363">
        <f t="shared" si="316"/>
        <v>-203.83743009845048</v>
      </c>
      <c r="AJ363">
        <f t="shared" si="284"/>
        <v>10500</v>
      </c>
      <c r="AK363">
        <f t="shared" si="285"/>
        <v>1946.3485935663002</v>
      </c>
      <c r="AL363">
        <v>1</v>
      </c>
      <c r="AM363">
        <f t="shared" si="286"/>
        <v>88.655757149370601</v>
      </c>
      <c r="AN363">
        <f t="shared" si="317"/>
        <v>23.286942865843606</v>
      </c>
      <c r="AO363">
        <f t="shared" si="318"/>
        <v>-118.17295789919871</v>
      </c>
      <c r="AQ363">
        <f t="shared" si="287"/>
        <v>4.50429957916329E-3</v>
      </c>
      <c r="AR363">
        <f t="shared" si="288"/>
        <v>-6.7114063729533022</v>
      </c>
      <c r="AT363">
        <f t="shared" si="313"/>
        <v>-1367.8402069344752</v>
      </c>
      <c r="AU363">
        <f t="shared" si="314"/>
        <v>-292.39265213665931</v>
      </c>
      <c r="AV363">
        <f t="shared" si="302"/>
        <v>-2.9309998206744354</v>
      </c>
      <c r="AW363">
        <f t="shared" si="303"/>
        <v>-737.82355068009144</v>
      </c>
      <c r="AX363">
        <f t="shared" si="304"/>
        <v>-483.77029575729546</v>
      </c>
      <c r="AY363">
        <f t="shared" si="312"/>
        <v>-2.5612403654436275</v>
      </c>
      <c r="BA363">
        <f t="shared" si="289"/>
        <v>1.5853731617275177</v>
      </c>
      <c r="BB363">
        <f t="shared" si="305"/>
        <v>4.0026300377594417</v>
      </c>
      <c r="BC363">
        <f t="shared" si="306"/>
        <v>-0.36975945523080789</v>
      </c>
      <c r="BD363">
        <f t="shared" si="290"/>
        <v>-201.18565624398994</v>
      </c>
      <c r="BF363">
        <f t="shared" si="291"/>
        <v>-43.566800349192562</v>
      </c>
      <c r="BG363">
        <f t="shared" si="292"/>
        <v>-175.57292954720177</v>
      </c>
      <c r="BH363">
        <f t="shared" si="307"/>
        <v>4.4270704527982332</v>
      </c>
      <c r="BI363">
        <f t="shared" si="308"/>
        <v>4.4270704527982332</v>
      </c>
      <c r="BJ363">
        <f t="shared" si="293"/>
        <v>0</v>
      </c>
      <c r="BK363">
        <f t="shared" si="309"/>
        <v>0</v>
      </c>
      <c r="BM363">
        <f t="shared" si="310"/>
        <v>-47.569430386951993</v>
      </c>
      <c r="BN363">
        <f t="shared" si="294"/>
        <v>-154.38727330321186</v>
      </c>
      <c r="BQ363" s="56">
        <f t="shared" si="311"/>
        <v>20.90459083804458</v>
      </c>
      <c r="BR363" s="59"/>
      <c r="BS363" s="59"/>
      <c r="BT363" s="59">
        <v>338844.15600000002</v>
      </c>
      <c r="BU363" s="59">
        <v>15.2844</v>
      </c>
      <c r="BV363" s="59">
        <v>-197.85300000000001</v>
      </c>
      <c r="BW363" s="61"/>
      <c r="BY363" s="59"/>
      <c r="BZ363" s="59"/>
      <c r="CA363" s="59"/>
      <c r="CC363" s="59"/>
    </row>
    <row r="364" spans="1:81" x14ac:dyDescent="0.2">
      <c r="A364">
        <f t="shared" ref="A364:A427" si="319">A363+5000</f>
        <v>750000</v>
      </c>
      <c r="B364">
        <f t="shared" si="295"/>
        <v>750</v>
      </c>
      <c r="C364">
        <f t="shared" si="264"/>
        <v>1.1054709849276985</v>
      </c>
      <c r="D364">
        <f t="shared" si="265"/>
        <v>0.44037514438320757</v>
      </c>
      <c r="F364">
        <f t="shared" si="266"/>
        <v>2.4923191022738266E-4</v>
      </c>
      <c r="G364">
        <f t="shared" si="267"/>
        <v>9.1635724790538158E-3</v>
      </c>
      <c r="H364">
        <f t="shared" si="268"/>
        <v>-3.1324290775209462</v>
      </c>
      <c r="J364">
        <f t="shared" si="269"/>
        <v>15</v>
      </c>
      <c r="M364">
        <f t="shared" si="270"/>
        <v>1.0636921856224319E-3</v>
      </c>
      <c r="N364">
        <f t="shared" si="271"/>
        <v>-1.5707963250000001</v>
      </c>
      <c r="O364">
        <f t="shared" si="272"/>
        <v>84.828895972724411</v>
      </c>
      <c r="P364">
        <f t="shared" si="273"/>
        <v>1.5590076178746082</v>
      </c>
      <c r="Q364">
        <f t="shared" si="274"/>
        <v>89.256364248150007</v>
      </c>
      <c r="R364">
        <f t="shared" si="275"/>
        <v>1.5595924095165739</v>
      </c>
      <c r="S364">
        <f t="shared" si="276"/>
        <v>0.9830301884785756</v>
      </c>
      <c r="T364">
        <f t="shared" si="277"/>
        <v>-0.18448862110272696</v>
      </c>
      <c r="U364">
        <f t="shared" si="278"/>
        <v>0.21857943794748808</v>
      </c>
      <c r="V364">
        <f t="shared" si="279"/>
        <v>-1.3504378578844598</v>
      </c>
      <c r="X364">
        <f t="shared" si="296"/>
        <v>-42.911652214596458</v>
      </c>
      <c r="Y364">
        <f t="shared" si="280"/>
        <v>-153.50551821289557</v>
      </c>
      <c r="Z364">
        <f t="shared" si="297"/>
        <v>26.494481787104434</v>
      </c>
      <c r="AC364">
        <v>1</v>
      </c>
      <c r="AD364">
        <f t="shared" si="281"/>
        <v>84.823001550000001</v>
      </c>
      <c r="AE364">
        <f t="shared" si="282"/>
        <v>-0.39971897733062806</v>
      </c>
      <c r="AF364">
        <f t="shared" si="283"/>
        <v>8.9535390524999994E-2</v>
      </c>
      <c r="AG364">
        <f t="shared" si="315"/>
        <v>42.880162062810179</v>
      </c>
      <c r="AH364">
        <f t="shared" si="316"/>
        <v>-202.60161284998293</v>
      </c>
      <c r="AJ364">
        <f t="shared" si="284"/>
        <v>10500</v>
      </c>
      <c r="AK364">
        <f t="shared" si="285"/>
        <v>1959.4113358050004</v>
      </c>
      <c r="AL364">
        <v>1</v>
      </c>
      <c r="AM364">
        <f t="shared" si="286"/>
        <v>89.250762230910013</v>
      </c>
      <c r="AN364">
        <f t="shared" si="317"/>
        <v>23.26923177477941</v>
      </c>
      <c r="AO364">
        <f t="shared" si="318"/>
        <v>-117.38533662177329</v>
      </c>
      <c r="AQ364">
        <f t="shared" si="287"/>
        <v>4.4444424691366807E-3</v>
      </c>
      <c r="AR364">
        <f t="shared" si="288"/>
        <v>-6.6666637037050203</v>
      </c>
      <c r="AT364">
        <f t="shared" si="313"/>
        <v>-1350.4862402857223</v>
      </c>
      <c r="AU364">
        <f t="shared" si="314"/>
        <v>-286.76807124559167</v>
      </c>
      <c r="AV364">
        <f t="shared" si="302"/>
        <v>-2.9323562270317436</v>
      </c>
      <c r="AW364">
        <f t="shared" si="303"/>
        <v>-727.70808545152295</v>
      </c>
      <c r="AX364">
        <f t="shared" si="304"/>
        <v>-480.51074780585816</v>
      </c>
      <c r="AY364">
        <f t="shared" si="312"/>
        <v>-2.5580058240996117</v>
      </c>
      <c r="BA364">
        <f t="shared" si="289"/>
        <v>1.5831855000380255</v>
      </c>
      <c r="BB364">
        <f t="shared" si="305"/>
        <v>3.9906360726490782</v>
      </c>
      <c r="BC364">
        <f t="shared" si="306"/>
        <v>-0.37435040293213184</v>
      </c>
      <c r="BD364">
        <f t="shared" si="290"/>
        <v>-201.44869817154165</v>
      </c>
      <c r="BF364">
        <f t="shared" si="291"/>
        <v>-43.6845188591913</v>
      </c>
      <c r="BG364">
        <f t="shared" si="292"/>
        <v>-175.6920269381763</v>
      </c>
      <c r="BH364">
        <f t="shared" si="307"/>
        <v>4.3079730618237022</v>
      </c>
      <c r="BI364">
        <f t="shared" si="308"/>
        <v>4.3079730618237022</v>
      </c>
      <c r="BJ364">
        <f t="shared" si="293"/>
        <v>0</v>
      </c>
      <c r="BK364">
        <f t="shared" si="309"/>
        <v>0</v>
      </c>
      <c r="BM364">
        <f t="shared" si="310"/>
        <v>-47.675154931840382</v>
      </c>
      <c r="BN364">
        <f t="shared" si="294"/>
        <v>-154.24332876663462</v>
      </c>
      <c r="BQ364" s="56">
        <f t="shared" si="311"/>
        <v>20.892596872934213</v>
      </c>
      <c r="BR364" s="59"/>
      <c r="BS364" s="59"/>
      <c r="BT364" s="59">
        <v>346736.85</v>
      </c>
      <c r="BU364" s="59">
        <v>15.295400000000001</v>
      </c>
      <c r="BV364" s="59">
        <v>-200.482</v>
      </c>
      <c r="BW364" s="61"/>
      <c r="BY364" s="59"/>
      <c r="BZ364" s="59"/>
      <c r="CA364" s="59"/>
      <c r="CC364" s="59"/>
    </row>
    <row r="365" spans="1:81" x14ac:dyDescent="0.2">
      <c r="A365">
        <f t="shared" si="319"/>
        <v>755000</v>
      </c>
      <c r="B365">
        <f t="shared" si="295"/>
        <v>755</v>
      </c>
      <c r="C365">
        <f t="shared" si="264"/>
        <v>1.1068138278115947</v>
      </c>
      <c r="D365">
        <f t="shared" si="265"/>
        <v>0.44294275063736921</v>
      </c>
      <c r="F365">
        <f t="shared" si="266"/>
        <v>2.459410670457019E-4</v>
      </c>
      <c r="G365">
        <f t="shared" si="267"/>
        <v>9.1028593836956148E-3</v>
      </c>
      <c r="H365">
        <f t="shared" si="268"/>
        <v>-3.1324897906163045</v>
      </c>
      <c r="J365">
        <f t="shared" si="269"/>
        <v>15</v>
      </c>
      <c r="M365">
        <f t="shared" si="270"/>
        <v>1.0566478665123497E-3</v>
      </c>
      <c r="N365">
        <f t="shared" si="271"/>
        <v>-1.5707963250000001</v>
      </c>
      <c r="O365">
        <f t="shared" si="272"/>
        <v>85.394343616497906</v>
      </c>
      <c r="P365">
        <f t="shared" si="273"/>
        <v>1.5590856816332948</v>
      </c>
      <c r="Q365">
        <f t="shared" si="274"/>
        <v>89.851332232542887</v>
      </c>
      <c r="R365">
        <f t="shared" si="275"/>
        <v>1.5596666014966551</v>
      </c>
      <c r="S365">
        <f t="shared" si="276"/>
        <v>0.98280899079371065</v>
      </c>
      <c r="T365">
        <f t="shared" si="277"/>
        <v>-0.18569055653621508</v>
      </c>
      <c r="U365">
        <f t="shared" si="278"/>
        <v>0.21720039827166882</v>
      </c>
      <c r="V365">
        <f t="shared" si="279"/>
        <v>-1.3518508470865043</v>
      </c>
      <c r="X365">
        <f t="shared" si="296"/>
        <v>-43.015789353774892</v>
      </c>
      <c r="Y365">
        <f t="shared" si="280"/>
        <v>-153.50298434932577</v>
      </c>
      <c r="Z365">
        <f t="shared" si="297"/>
        <v>26.497015650674228</v>
      </c>
      <c r="AC365">
        <v>1</v>
      </c>
      <c r="AD365">
        <f t="shared" si="281"/>
        <v>85.388488227000011</v>
      </c>
      <c r="AE365">
        <f t="shared" si="282"/>
        <v>-0.40506632898291778</v>
      </c>
      <c r="AF365">
        <f t="shared" si="283"/>
        <v>9.0132293128499991E-2</v>
      </c>
      <c r="AG365">
        <f t="shared" si="315"/>
        <v>42.340798379602134</v>
      </c>
      <c r="AH365">
        <f t="shared" si="316"/>
        <v>-201.3798954382975</v>
      </c>
      <c r="AJ365">
        <f t="shared" si="284"/>
        <v>10500</v>
      </c>
      <c r="AK365">
        <f t="shared" si="285"/>
        <v>1972.4740780437003</v>
      </c>
      <c r="AL365">
        <v>1</v>
      </c>
      <c r="AM365">
        <f t="shared" si="286"/>
        <v>89.845767312449411</v>
      </c>
      <c r="AN365">
        <f t="shared" si="317"/>
        <v>23.251871335130339</v>
      </c>
      <c r="AO365">
        <f t="shared" si="318"/>
        <v>-116.60814351143247</v>
      </c>
      <c r="AQ365">
        <f t="shared" si="287"/>
        <v>4.3857706303361121E-3</v>
      </c>
      <c r="AR365">
        <f t="shared" si="288"/>
        <v>-6.6225136518075294</v>
      </c>
      <c r="AT365">
        <f t="shared" si="313"/>
        <v>-1333.4554097096998</v>
      </c>
      <c r="AU365">
        <f t="shared" si="314"/>
        <v>-281.28572132829868</v>
      </c>
      <c r="AV365">
        <f t="shared" si="302"/>
        <v>-2.93369556748419</v>
      </c>
      <c r="AW365">
        <f t="shared" si="303"/>
        <v>-717.79339170297726</v>
      </c>
      <c r="AX365">
        <f t="shared" si="304"/>
        <v>-477.29516152379858</v>
      </c>
      <c r="AY365">
        <f t="shared" si="312"/>
        <v>-2.5547809548744818</v>
      </c>
      <c r="BA365">
        <f t="shared" si="289"/>
        <v>1.5809813232251155</v>
      </c>
      <c r="BB365">
        <f t="shared" si="305"/>
        <v>3.9785347893060097</v>
      </c>
      <c r="BC365">
        <f t="shared" si="306"/>
        <v>-0.37891461260970827</v>
      </c>
      <c r="BD365">
        <f t="shared" si="290"/>
        <v>-201.71020812317838</v>
      </c>
      <c r="BF365">
        <f t="shared" si="291"/>
        <v>-43.801527444782415</v>
      </c>
      <c r="BG365">
        <f t="shared" si="292"/>
        <v>-175.80990249195924</v>
      </c>
      <c r="BH365">
        <f t="shared" si="307"/>
        <v>4.1900975080407648</v>
      </c>
      <c r="BI365">
        <f t="shared" si="308"/>
        <v>4.1900975080407648</v>
      </c>
      <c r="BJ365">
        <f t="shared" si="293"/>
        <v>0</v>
      </c>
      <c r="BK365">
        <f t="shared" si="309"/>
        <v>0</v>
      </c>
      <c r="BM365">
        <f t="shared" si="310"/>
        <v>-47.780062234088419</v>
      </c>
      <c r="BN365">
        <f t="shared" si="294"/>
        <v>-154.09969436878086</v>
      </c>
      <c r="BQ365" s="56">
        <f t="shared" si="311"/>
        <v>20.880495589591149</v>
      </c>
      <c r="BR365" s="59"/>
      <c r="BS365" s="59"/>
      <c r="BT365" s="59">
        <v>354813.38900000002</v>
      </c>
      <c r="BU365" s="59">
        <v>15.3028</v>
      </c>
      <c r="BV365" s="59">
        <v>-203.33199999999999</v>
      </c>
      <c r="BW365" s="61"/>
      <c r="BY365" s="59"/>
      <c r="BZ365" s="59"/>
      <c r="CA365" s="59"/>
      <c r="CC365" s="59"/>
    </row>
    <row r="366" spans="1:81" x14ac:dyDescent="0.2">
      <c r="A366">
        <f t="shared" si="319"/>
        <v>760000</v>
      </c>
      <c r="B366">
        <f t="shared" si="295"/>
        <v>760</v>
      </c>
      <c r="C366">
        <f t="shared" si="264"/>
        <v>1.1081639497663016</v>
      </c>
      <c r="D366">
        <f t="shared" si="265"/>
        <v>0.44550411730170947</v>
      </c>
      <c r="F366">
        <f t="shared" si="266"/>
        <v>2.4271497872323274E-4</v>
      </c>
      <c r="G366">
        <f t="shared" si="267"/>
        <v>9.0429456762509217E-3</v>
      </c>
      <c r="H366">
        <f t="shared" si="268"/>
        <v>-3.1325497043237491</v>
      </c>
      <c r="J366">
        <f t="shared" si="269"/>
        <v>15</v>
      </c>
      <c r="M366">
        <f t="shared" si="270"/>
        <v>1.0496962358116106E-3</v>
      </c>
      <c r="N366">
        <f t="shared" si="271"/>
        <v>-1.5707963250000001</v>
      </c>
      <c r="O366">
        <f t="shared" si="272"/>
        <v>85.959791773814004</v>
      </c>
      <c r="P366">
        <f t="shared" si="273"/>
        <v>1.5591627183771959</v>
      </c>
      <c r="Q366">
        <f t="shared" si="274"/>
        <v>90.446300705011069</v>
      </c>
      <c r="R366">
        <f t="shared" si="275"/>
        <v>1.5597398173865995</v>
      </c>
      <c r="S366">
        <f t="shared" si="276"/>
        <v>0.98258647409926592</v>
      </c>
      <c r="T366">
        <f t="shared" si="277"/>
        <v>-0.18689194944690204</v>
      </c>
      <c r="U366">
        <f t="shared" si="278"/>
        <v>0.21583822764221239</v>
      </c>
      <c r="V366">
        <f t="shared" si="279"/>
        <v>-1.3532461159433613</v>
      </c>
      <c r="X366">
        <f t="shared" si="296"/>
        <v>-43.119183865564608</v>
      </c>
      <c r="Y366">
        <f t="shared" si="280"/>
        <v>-153.49983057056471</v>
      </c>
      <c r="Z366">
        <f t="shared" si="297"/>
        <v>26.500169429435289</v>
      </c>
      <c r="AC366">
        <v>1</v>
      </c>
      <c r="AD366">
        <f t="shared" si="281"/>
        <v>85.953974904000006</v>
      </c>
      <c r="AE366">
        <f t="shared" si="282"/>
        <v>-0.41044921121097028</v>
      </c>
      <c r="AF366">
        <f t="shared" si="283"/>
        <v>9.0729195731999987E-2</v>
      </c>
      <c r="AG366">
        <f t="shared" si="315"/>
        <v>41.811383727980576</v>
      </c>
      <c r="AH366">
        <f t="shared" si="316"/>
        <v>-200.17205403688288</v>
      </c>
      <c r="AJ366">
        <f t="shared" si="284"/>
        <v>10500</v>
      </c>
      <c r="AK366">
        <f t="shared" si="285"/>
        <v>1985.5368202824004</v>
      </c>
      <c r="AL366">
        <v>1</v>
      </c>
      <c r="AM366">
        <f t="shared" si="286"/>
        <v>90.440772393988809</v>
      </c>
      <c r="AN366">
        <f t="shared" si="317"/>
        <v>23.234852351535547</v>
      </c>
      <c r="AO366">
        <f t="shared" si="318"/>
        <v>-115.84117285076181</v>
      </c>
      <c r="AQ366">
        <f t="shared" si="287"/>
        <v>4.3282529742672375E-3</v>
      </c>
      <c r="AR366">
        <f t="shared" si="288"/>
        <v>-6.5789445208862007</v>
      </c>
      <c r="AT366">
        <f t="shared" si="313"/>
        <v>-1316.7398678945083</v>
      </c>
      <c r="AU366">
        <f t="shared" si="314"/>
        <v>-275.94116917611859</v>
      </c>
      <c r="AV366">
        <f t="shared" si="302"/>
        <v>-2.9350181565140345</v>
      </c>
      <c r="AW366">
        <f t="shared" si="303"/>
        <v>-708.07418911326022</v>
      </c>
      <c r="AX366">
        <f t="shared" si="304"/>
        <v>-474.12264528531978</v>
      </c>
      <c r="AY366">
        <f t="shared" si="312"/>
        <v>-2.5515657655186064</v>
      </c>
      <c r="BA366">
        <f t="shared" si="289"/>
        <v>1.5787610961244924</v>
      </c>
      <c r="BB366">
        <f t="shared" si="305"/>
        <v>3.9663283191689653</v>
      </c>
      <c r="BC366">
        <f t="shared" si="306"/>
        <v>-0.38345239099542816</v>
      </c>
      <c r="BD366">
        <f t="shared" si="290"/>
        <v>-201.97020367334289</v>
      </c>
      <c r="BF366">
        <f t="shared" si="291"/>
        <v>-43.917834566237708</v>
      </c>
      <c r="BG366">
        <f t="shared" si="292"/>
        <v>-175.92657534487935</v>
      </c>
      <c r="BH366">
        <f t="shared" si="307"/>
        <v>4.0734246551206468</v>
      </c>
      <c r="BI366">
        <f t="shared" si="308"/>
        <v>4.0734246551206468</v>
      </c>
      <c r="BJ366">
        <f t="shared" si="293"/>
        <v>0</v>
      </c>
      <c r="BK366">
        <f t="shared" si="309"/>
        <v>0</v>
      </c>
      <c r="BM366">
        <f t="shared" si="310"/>
        <v>-47.884162885406674</v>
      </c>
      <c r="BN366">
        <f t="shared" si="294"/>
        <v>-153.95637167153646</v>
      </c>
      <c r="BQ366" s="56">
        <f t="shared" si="311"/>
        <v>20.868289119454104</v>
      </c>
      <c r="BR366" s="59"/>
      <c r="BS366" s="59"/>
      <c r="BT366" s="59">
        <v>363078.05499999999</v>
      </c>
      <c r="BU366" s="59">
        <v>15.049200000000001</v>
      </c>
      <c r="BV366" s="59">
        <v>-205.19499999999999</v>
      </c>
      <c r="BW366" s="61"/>
      <c r="BY366" s="59"/>
      <c r="BZ366" s="59"/>
      <c r="CA366" s="59"/>
      <c r="CC366" s="59"/>
    </row>
    <row r="367" spans="1:81" x14ac:dyDescent="0.2">
      <c r="A367">
        <f t="shared" si="319"/>
        <v>765000</v>
      </c>
      <c r="B367">
        <f t="shared" si="295"/>
        <v>765</v>
      </c>
      <c r="C367">
        <f t="shared" si="264"/>
        <v>1.109521324219189</v>
      </c>
      <c r="D367">
        <f t="shared" si="265"/>
        <v>0.44805923360744815</v>
      </c>
      <c r="F367">
        <f t="shared" si="266"/>
        <v>2.3955195728977841E-4</v>
      </c>
      <c r="G367">
        <f t="shared" si="267"/>
        <v>8.9838156686858541E-3</v>
      </c>
      <c r="H367">
        <f t="shared" si="268"/>
        <v>-3.1326088343313145</v>
      </c>
      <c r="J367">
        <f t="shared" si="269"/>
        <v>15</v>
      </c>
      <c r="M367">
        <f t="shared" si="270"/>
        <v>1.0428354761004236E-3</v>
      </c>
      <c r="N367">
        <f t="shared" si="271"/>
        <v>-1.5707963250000001</v>
      </c>
      <c r="O367">
        <f t="shared" si="272"/>
        <v>86.525240434604584</v>
      </c>
      <c r="P367">
        <f t="shared" si="273"/>
        <v>1.5592387482402346</v>
      </c>
      <c r="Q367">
        <f t="shared" si="274"/>
        <v>91.041269655985616</v>
      </c>
      <c r="R367">
        <f t="shared" si="275"/>
        <v>1.5598120763223193</v>
      </c>
      <c r="S367">
        <f t="shared" si="276"/>
        <v>0.98236264121729289</v>
      </c>
      <c r="T367">
        <f t="shared" si="277"/>
        <v>-0.18809279673633439</v>
      </c>
      <c r="U367">
        <f t="shared" si="278"/>
        <v>0.21449262641958483</v>
      </c>
      <c r="V367">
        <f t="shared" si="279"/>
        <v>-1.354623990393151</v>
      </c>
      <c r="X367">
        <f t="shared" si="296"/>
        <v>-43.221844822352686</v>
      </c>
      <c r="Y367">
        <f t="shared" si="280"/>
        <v>-153.49607463983071</v>
      </c>
      <c r="Z367">
        <f t="shared" si="297"/>
        <v>26.503925360169291</v>
      </c>
      <c r="AC367">
        <v>1</v>
      </c>
      <c r="AD367">
        <f t="shared" si="281"/>
        <v>86.519461581000002</v>
      </c>
      <c r="AE367">
        <f t="shared" si="282"/>
        <v>-0.41586762401478544</v>
      </c>
      <c r="AF367">
        <f t="shared" si="283"/>
        <v>9.1326098335499997E-2</v>
      </c>
      <c r="AG367">
        <f t="shared" si="315"/>
        <v>41.291679001197721</v>
      </c>
      <c r="AH367">
        <f t="shared" si="316"/>
        <v>-198.97786907584981</v>
      </c>
      <c r="AJ367">
        <f t="shared" si="284"/>
        <v>10500</v>
      </c>
      <c r="AK367">
        <f t="shared" si="285"/>
        <v>1998.5995625211003</v>
      </c>
      <c r="AL367">
        <v>1</v>
      </c>
      <c r="AM367">
        <f t="shared" si="286"/>
        <v>91.035777475528207</v>
      </c>
      <c r="AN367">
        <f t="shared" si="317"/>
        <v>23.218165928077905</v>
      </c>
      <c r="AO367">
        <f t="shared" si="318"/>
        <v>-115.08422429729059</v>
      </c>
      <c r="AQ367">
        <f t="shared" si="287"/>
        <v>4.2718594250675274E-3</v>
      </c>
      <c r="AR367">
        <f t="shared" si="288"/>
        <v>-6.5359449203533169</v>
      </c>
      <c r="AT367">
        <f t="shared" si="313"/>
        <v>-1300.3320004009097</v>
      </c>
      <c r="AU367">
        <f t="shared" si="314"/>
        <v>-270.7301451061295</v>
      </c>
      <c r="AV367">
        <f t="shared" si="302"/>
        <v>-2.9363243010645368</v>
      </c>
      <c r="AW367">
        <f t="shared" si="303"/>
        <v>-698.54536986866151</v>
      </c>
      <c r="AX367">
        <f t="shared" si="304"/>
        <v>-470.99233167292459</v>
      </c>
      <c r="AY367">
        <f t="shared" si="312"/>
        <v>-2.5483602627727366</v>
      </c>
      <c r="BA367">
        <f t="shared" si="289"/>
        <v>1.5765252730148034</v>
      </c>
      <c r="BB367">
        <f t="shared" si="305"/>
        <v>3.9540187448486948</v>
      </c>
      <c r="BC367">
        <f t="shared" si="306"/>
        <v>-0.38796403829180015</v>
      </c>
      <c r="BD367">
        <f t="shared" si="290"/>
        <v>-202.228702022372</v>
      </c>
      <c r="BF367">
        <f t="shared" si="291"/>
        <v>-44.033448531044677</v>
      </c>
      <c r="BG367">
        <f t="shared" si="292"/>
        <v>-176.04206421313719</v>
      </c>
      <c r="BH367">
        <f t="shared" si="307"/>
        <v>3.9579357868628051</v>
      </c>
      <c r="BI367">
        <f t="shared" si="308"/>
        <v>3.9579357868628051</v>
      </c>
      <c r="BJ367">
        <f t="shared" si="293"/>
        <v>0</v>
      </c>
      <c r="BK367">
        <f t="shared" si="309"/>
        <v>0</v>
      </c>
      <c r="BM367">
        <f t="shared" si="310"/>
        <v>-47.987467275893366</v>
      </c>
      <c r="BN367">
        <f t="shared" si="294"/>
        <v>-153.81336219076522</v>
      </c>
      <c r="BQ367" s="56">
        <f t="shared" si="311"/>
        <v>20.855979545133827</v>
      </c>
      <c r="BR367" s="59"/>
      <c r="BS367" s="59"/>
      <c r="BT367" s="59">
        <v>371535.22899999999</v>
      </c>
      <c r="BU367" s="59">
        <v>14.9002</v>
      </c>
      <c r="BV367" s="59">
        <v>-207.41</v>
      </c>
      <c r="BW367" s="61"/>
      <c r="BY367" s="59"/>
      <c r="BZ367" s="59"/>
      <c r="CA367" s="59"/>
      <c r="CC367" s="59"/>
    </row>
    <row r="368" spans="1:81" x14ac:dyDescent="0.2">
      <c r="A368">
        <f t="shared" si="319"/>
        <v>770000</v>
      </c>
      <c r="B368">
        <f t="shared" si="295"/>
        <v>770</v>
      </c>
      <c r="C368">
        <f t="shared" si="264"/>
        <v>1.110885924585109</v>
      </c>
      <c r="D368">
        <f t="shared" si="265"/>
        <v>0.45060808916474338</v>
      </c>
      <c r="F368">
        <f t="shared" si="266"/>
        <v>2.3645036942305592E-4</v>
      </c>
      <c r="G368">
        <f t="shared" si="267"/>
        <v>8.9254540808905332E-3</v>
      </c>
      <c r="H368">
        <f t="shared" si="268"/>
        <v>-3.1326671959191095</v>
      </c>
      <c r="J368">
        <f t="shared" si="269"/>
        <v>15</v>
      </c>
      <c r="M368">
        <f t="shared" si="270"/>
        <v>1.0360638171647064E-3</v>
      </c>
      <c r="N368">
        <f t="shared" si="271"/>
        <v>-1.5707963250000001</v>
      </c>
      <c r="O368">
        <f t="shared" si="272"/>
        <v>87.090689589063061</v>
      </c>
      <c r="P368">
        <f t="shared" si="273"/>
        <v>1.5593137908334909</v>
      </c>
      <c r="Q368">
        <f t="shared" si="274"/>
        <v>91.636239076146097</v>
      </c>
      <c r="R368">
        <f t="shared" si="275"/>
        <v>1.5598833969427908</v>
      </c>
      <c r="S368">
        <f t="shared" si="276"/>
        <v>0.98213749498304592</v>
      </c>
      <c r="T368">
        <f t="shared" si="277"/>
        <v>-0.18929309531516678</v>
      </c>
      <c r="U368">
        <f t="shared" si="278"/>
        <v>0.21316330181550899</v>
      </c>
      <c r="V368">
        <f t="shared" si="279"/>
        <v>-1.3559847885618701</v>
      </c>
      <c r="X368">
        <f t="shared" si="296"/>
        <v>-43.323781140218038</v>
      </c>
      <c r="Y368">
        <f t="shared" si="280"/>
        <v>-153.49173388660742</v>
      </c>
      <c r="Z368">
        <f t="shared" si="297"/>
        <v>26.50826611339258</v>
      </c>
      <c r="AC368">
        <v>1</v>
      </c>
      <c r="AD368">
        <f t="shared" si="281"/>
        <v>87.084948258000011</v>
      </c>
      <c r="AE368">
        <f t="shared" si="282"/>
        <v>-0.42132156739436316</v>
      </c>
      <c r="AF368">
        <f t="shared" si="283"/>
        <v>9.1923000938999994E-2</v>
      </c>
      <c r="AG368">
        <f t="shared" si="315"/>
        <v>40.781452105396937</v>
      </c>
      <c r="AH368">
        <f t="shared" si="316"/>
        <v>-197.7971251583661</v>
      </c>
      <c r="AJ368">
        <f t="shared" si="284"/>
        <v>10500</v>
      </c>
      <c r="AK368">
        <f t="shared" si="285"/>
        <v>2011.6623047598</v>
      </c>
      <c r="AL368">
        <v>1</v>
      </c>
      <c r="AM368">
        <f t="shared" si="286"/>
        <v>91.630782557067619</v>
      </c>
      <c r="AN368">
        <f t="shared" si="317"/>
        <v>23.201803456658634</v>
      </c>
      <c r="AO368">
        <f t="shared" si="318"/>
        <v>-114.33710270910754</v>
      </c>
      <c r="AQ368">
        <f t="shared" si="287"/>
        <v>4.2165608801817845E-3</v>
      </c>
      <c r="AR368">
        <f t="shared" si="288"/>
        <v>-6.4935037554799475</v>
      </c>
      <c r="AT368">
        <f t="shared" si="313"/>
        <v>-1284.224417563403</v>
      </c>
      <c r="AU368">
        <f t="shared" si="314"/>
        <v>-265.64853602047577</v>
      </c>
      <c r="AV368">
        <f t="shared" si="302"/>
        <v>-2.9376143007600892</v>
      </c>
      <c r="AW368">
        <f t="shared" si="303"/>
        <v>-689.20199194261158</v>
      </c>
      <c r="AX368">
        <f t="shared" si="304"/>
        <v>-467.90337665173956</v>
      </c>
      <c r="AY368">
        <f t="shared" si="312"/>
        <v>-2.5451644523919015</v>
      </c>
      <c r="BA368">
        <f t="shared" si="289"/>
        <v>1.5742742979299174</v>
      </c>
      <c r="BB368">
        <f t="shared" si="305"/>
        <v>3.9416081017395816</v>
      </c>
      <c r="BC368">
        <f t="shared" si="306"/>
        <v>-0.39244984836818775</v>
      </c>
      <c r="BD368">
        <f t="shared" si="290"/>
        <v>-202.48572000773996</v>
      </c>
      <c r="BF368">
        <f t="shared" si="291"/>
        <v>-44.148377497505933</v>
      </c>
      <c r="BG368">
        <f t="shared" si="292"/>
        <v>-176.15638740498696</v>
      </c>
      <c r="BH368">
        <f t="shared" si="307"/>
        <v>3.8436125950130418</v>
      </c>
      <c r="BI368">
        <f t="shared" si="308"/>
        <v>3.8436125950130418</v>
      </c>
      <c r="BJ368">
        <f t="shared" si="293"/>
        <v>0</v>
      </c>
      <c r="BK368">
        <f t="shared" si="309"/>
        <v>0</v>
      </c>
      <c r="BM368">
        <f t="shared" si="310"/>
        <v>-48.089985599245523</v>
      </c>
      <c r="BN368">
        <f t="shared" si="294"/>
        <v>-153.670667397247</v>
      </c>
      <c r="BQ368" s="56">
        <f t="shared" si="311"/>
        <v>20.843568902024717</v>
      </c>
      <c r="BR368" s="59"/>
      <c r="BS368" s="59"/>
      <c r="BT368" s="59">
        <v>380189.39600000001</v>
      </c>
      <c r="BU368" s="59">
        <v>14.938000000000001</v>
      </c>
      <c r="BV368" s="59">
        <v>-210.39400000000001</v>
      </c>
      <c r="BW368" s="61"/>
      <c r="BY368" s="59"/>
      <c r="BZ368" s="59"/>
      <c r="CA368" s="59"/>
      <c r="CC368" s="59"/>
    </row>
    <row r="369" spans="1:81" x14ac:dyDescent="0.2">
      <c r="A369">
        <f t="shared" si="319"/>
        <v>775000</v>
      </c>
      <c r="B369">
        <f t="shared" si="295"/>
        <v>775</v>
      </c>
      <c r="C369">
        <f t="shared" si="264"/>
        <v>1.1122577242682021</v>
      </c>
      <c r="D369">
        <f t="shared" si="265"/>
        <v>0.4531506739599947</v>
      </c>
      <c r="F369">
        <f t="shared" si="266"/>
        <v>2.3340863433915629E-4</v>
      </c>
      <c r="G369">
        <f t="shared" si="267"/>
        <v>8.8678460275032778E-3</v>
      </c>
      <c r="H369">
        <f t="shared" si="268"/>
        <v>-3.1327248039724971</v>
      </c>
      <c r="J369">
        <f t="shared" si="269"/>
        <v>15</v>
      </c>
      <c r="M369">
        <f t="shared" si="270"/>
        <v>1.0293795344733213E-3</v>
      </c>
      <c r="N369">
        <f t="shared" si="271"/>
        <v>-1.5707963250000001</v>
      </c>
      <c r="O369">
        <f t="shared" si="272"/>
        <v>87.656139227635776</v>
      </c>
      <c r="P369">
        <f t="shared" si="273"/>
        <v>1.5593878652620634</v>
      </c>
      <c r="Q369">
        <f t="shared" si="274"/>
        <v>92.231208956412559</v>
      </c>
      <c r="R369">
        <f t="shared" si="275"/>
        <v>1.55995379740608</v>
      </c>
      <c r="S369">
        <f t="shared" si="276"/>
        <v>0.98191103824488868</v>
      </c>
      <c r="T369">
        <f t="shared" si="277"/>
        <v>-0.19049284210320078</v>
      </c>
      <c r="U369">
        <f t="shared" si="278"/>
        <v>0.21184996770479114</v>
      </c>
      <c r="V369">
        <f t="shared" si="279"/>
        <v>-1.3573288209919316</v>
      </c>
      <c r="X369">
        <f t="shared" si="296"/>
        <v>-43.425001582504848</v>
      </c>
      <c r="Y369">
        <f t="shared" si="280"/>
        <v>-153.48682521876552</v>
      </c>
      <c r="Z369">
        <f t="shared" si="297"/>
        <v>26.513174781234483</v>
      </c>
      <c r="AC369">
        <v>1</v>
      </c>
      <c r="AD369">
        <f t="shared" si="281"/>
        <v>87.650434935000007</v>
      </c>
      <c r="AE369">
        <f t="shared" si="282"/>
        <v>-0.42681104134970382</v>
      </c>
      <c r="AF369">
        <f t="shared" si="283"/>
        <v>9.251990354249999E-2</v>
      </c>
      <c r="AG369">
        <f t="shared" si="315"/>
        <v>40.280477718982866</v>
      </c>
      <c r="AH369">
        <f t="shared" si="316"/>
        <v>-196.62961097820281</v>
      </c>
      <c r="AJ369">
        <f t="shared" si="284"/>
        <v>10500</v>
      </c>
      <c r="AK369">
        <f t="shared" si="285"/>
        <v>2024.7250469985001</v>
      </c>
      <c r="AL369">
        <v>1</v>
      </c>
      <c r="AM369">
        <f t="shared" si="286"/>
        <v>92.225787638607017</v>
      </c>
      <c r="AN369">
        <f t="shared" si="317"/>
        <v>23.185756605895214</v>
      </c>
      <c r="AO369">
        <f t="shared" si="318"/>
        <v>-113.5996179772214</v>
      </c>
      <c r="AQ369">
        <f t="shared" si="287"/>
        <v>4.1623291728078368E-3</v>
      </c>
      <c r="AR369">
        <f t="shared" si="288"/>
        <v>-6.4516102178521466</v>
      </c>
      <c r="AT369">
        <f t="shared" si="313"/>
        <v>-1268.4099467117614</v>
      </c>
      <c r="AU369">
        <f t="shared" si="314"/>
        <v>-260.69237879776801</v>
      </c>
      <c r="AV369">
        <f t="shared" si="302"/>
        <v>-2.9388884481188513</v>
      </c>
      <c r="AW369">
        <f t="shared" si="303"/>
        <v>-680.03927267883557</v>
      </c>
      <c r="AX369">
        <f t="shared" si="304"/>
        <v>-464.85495877781159</v>
      </c>
      <c r="AY369">
        <f t="shared" si="312"/>
        <v>-2.5419783391686126</v>
      </c>
      <c r="BA369">
        <f t="shared" si="289"/>
        <v>1.5720086049589042</v>
      </c>
      <c r="BB369">
        <f t="shared" si="305"/>
        <v>3.9290983795632135</v>
      </c>
      <c r="BC369">
        <f t="shared" si="306"/>
        <v>-0.3969101089502387</v>
      </c>
      <c r="BD369">
        <f t="shared" si="290"/>
        <v>-202.74127411491204</v>
      </c>
      <c r="BF369">
        <f t="shared" si="291"/>
        <v>-44.262629478237507</v>
      </c>
      <c r="BG369">
        <f t="shared" si="292"/>
        <v>-176.26956283249939</v>
      </c>
      <c r="BH369">
        <f t="shared" si="307"/>
        <v>3.7304371675006109</v>
      </c>
      <c r="BI369">
        <f t="shared" si="308"/>
        <v>3.7304371675006109</v>
      </c>
      <c r="BJ369">
        <f t="shared" si="293"/>
        <v>0</v>
      </c>
      <c r="BK369">
        <f t="shared" si="309"/>
        <v>0</v>
      </c>
      <c r="BM369">
        <f t="shared" si="310"/>
        <v>-48.191727857800714</v>
      </c>
      <c r="BN369">
        <f t="shared" si="294"/>
        <v>-153.52828871758734</v>
      </c>
      <c r="BQ369" s="56">
        <f t="shared" si="311"/>
        <v>20.831059179848349</v>
      </c>
      <c r="BR369" s="59"/>
      <c r="BS369" s="59"/>
      <c r="BT369" s="59">
        <v>389045.14500000002</v>
      </c>
      <c r="BU369" s="59">
        <v>14.7561</v>
      </c>
      <c r="BV369" s="59">
        <v>-213.04300000000001</v>
      </c>
      <c r="BW369" s="61"/>
      <c r="BY369" s="59"/>
      <c r="BZ369" s="59"/>
      <c r="CA369" s="59"/>
      <c r="CC369" s="59"/>
    </row>
    <row r="370" spans="1:81" x14ac:dyDescent="0.2">
      <c r="A370">
        <f t="shared" si="319"/>
        <v>780000</v>
      </c>
      <c r="B370">
        <f t="shared" si="295"/>
        <v>780</v>
      </c>
      <c r="C370">
        <f t="shared" si="264"/>
        <v>1.1136366966636848</v>
      </c>
      <c r="D370">
        <f t="shared" si="265"/>
        <v>0.45568697835311939</v>
      </c>
      <c r="F370">
        <f t="shared" si="266"/>
        <v>2.3042522177740872E-4</v>
      </c>
      <c r="G370">
        <f t="shared" si="267"/>
        <v>8.8109770052422921E-3</v>
      </c>
      <c r="H370">
        <f t="shared" si="268"/>
        <v>-3.1327816729947577</v>
      </c>
      <c r="J370">
        <f t="shared" si="269"/>
        <v>15</v>
      </c>
      <c r="M370">
        <f t="shared" si="270"/>
        <v>1.022780947713877E-3</v>
      </c>
      <c r="N370">
        <f t="shared" si="271"/>
        <v>-1.5707963250000001</v>
      </c>
      <c r="O370">
        <f t="shared" si="272"/>
        <v>88.221589341014067</v>
      </c>
      <c r="P370">
        <f t="shared" si="273"/>
        <v>1.5594609901412835</v>
      </c>
      <c r="Q370">
        <f t="shared" si="274"/>
        <v>92.826179287937862</v>
      </c>
      <c r="R370">
        <f t="shared" si="275"/>
        <v>1.5600232954047522</v>
      </c>
      <c r="S370">
        <f t="shared" si="276"/>
        <v>0.98168327386419785</v>
      </c>
      <c r="T370">
        <f t="shared" si="277"/>
        <v>-0.1916920340294232</v>
      </c>
      <c r="U370">
        <f t="shared" si="278"/>
        <v>0.21055234444306026</v>
      </c>
      <c r="V370">
        <f t="shared" si="279"/>
        <v>-1.3586563908628819</v>
      </c>
      <c r="X370">
        <f t="shared" si="296"/>
        <v>-43.52551476329505</v>
      </c>
      <c r="Y370">
        <f t="shared" si="280"/>
        <v>-153.48136513428099</v>
      </c>
      <c r="Z370">
        <f t="shared" si="297"/>
        <v>26.518634865719008</v>
      </c>
      <c r="AC370">
        <v>1</v>
      </c>
      <c r="AD370">
        <f t="shared" si="281"/>
        <v>88.215921612000017</v>
      </c>
      <c r="AE370">
        <f t="shared" si="282"/>
        <v>-0.43233604588080721</v>
      </c>
      <c r="AF370">
        <f t="shared" si="283"/>
        <v>9.3116806146E-2</v>
      </c>
      <c r="AG370">
        <f t="shared" si="315"/>
        <v>39.788537061362824</v>
      </c>
      <c r="AH370">
        <f t="shared" si="316"/>
        <v>-195.4751192384347</v>
      </c>
      <c r="AJ370">
        <f t="shared" si="284"/>
        <v>10500</v>
      </c>
      <c r="AK370">
        <f t="shared" si="285"/>
        <v>2037.7877892372003</v>
      </c>
      <c r="AL370">
        <v>1</v>
      </c>
      <c r="AM370">
        <f t="shared" si="286"/>
        <v>92.8207927201464</v>
      </c>
      <c r="AN370">
        <f t="shared" si="317"/>
        <v>23.170017310515505</v>
      </c>
      <c r="AO370">
        <f t="shared" si="318"/>
        <v>-112.87158486436336</v>
      </c>
      <c r="AQ370">
        <f t="shared" si="287"/>
        <v>4.1091370360219282E-3</v>
      </c>
      <c r="AR370">
        <f t="shared" si="288"/>
        <v>-6.4102537761942076</v>
      </c>
      <c r="AT370">
        <f t="shared" si="313"/>
        <v>-1252.8816246989411</v>
      </c>
      <c r="AU370">
        <f t="shared" si="314"/>
        <v>-255.85785399892768</v>
      </c>
      <c r="AV370">
        <f t="shared" si="302"/>
        <v>-2.9401470287581679</v>
      </c>
      <c r="AW370">
        <f t="shared" si="303"/>
        <v>-671.05258266243618</v>
      </c>
      <c r="AX370">
        <f t="shared" si="304"/>
        <v>-461.84627843873591</v>
      </c>
      <c r="AY370">
        <f t="shared" si="312"/>
        <v>-2.5388019269554056</v>
      </c>
      <c r="BA370">
        <f t="shared" si="289"/>
        <v>1.56972861853433</v>
      </c>
      <c r="BB370">
        <f t="shared" si="305"/>
        <v>3.9164915238474558</v>
      </c>
      <c r="BC370">
        <f t="shared" si="306"/>
        <v>-0.40134510180276228</v>
      </c>
      <c r="BD370">
        <f t="shared" si="290"/>
        <v>-202.9953804878227</v>
      </c>
      <c r="BF370">
        <f t="shared" si="291"/>
        <v>-44.376212343568675</v>
      </c>
      <c r="BG370">
        <f t="shared" si="292"/>
        <v>-176.38160802292177</v>
      </c>
      <c r="BH370">
        <f t="shared" si="307"/>
        <v>3.6183919770782325</v>
      </c>
      <c r="BI370">
        <f t="shared" si="308"/>
        <v>3.6183919770782325</v>
      </c>
      <c r="BJ370">
        <f t="shared" si="293"/>
        <v>0</v>
      </c>
      <c r="BK370">
        <f t="shared" si="309"/>
        <v>0</v>
      </c>
      <c r="BM370">
        <f t="shared" si="310"/>
        <v>-48.292703867416122</v>
      </c>
      <c r="BN370">
        <f t="shared" si="294"/>
        <v>-153.38622753509907</v>
      </c>
      <c r="BQ370" s="56">
        <f t="shared" si="311"/>
        <v>20.818452324132593</v>
      </c>
      <c r="BR370" s="59"/>
      <c r="BS370" s="59"/>
      <c r="BT370" s="59">
        <v>398107.17099999997</v>
      </c>
      <c r="BU370" s="59">
        <v>14.525499999999999</v>
      </c>
      <c r="BV370" s="59">
        <v>-214.58500000000001</v>
      </c>
      <c r="BW370" s="61"/>
      <c r="BY370" s="59"/>
      <c r="BZ370" s="59"/>
      <c r="CA370" s="59"/>
      <c r="CC370" s="59"/>
    </row>
    <row r="371" spans="1:81" x14ac:dyDescent="0.2">
      <c r="A371">
        <f t="shared" si="319"/>
        <v>785000</v>
      </c>
      <c r="B371">
        <f t="shared" si="295"/>
        <v>785</v>
      </c>
      <c r="C371">
        <f t="shared" si="264"/>
        <v>1.1150228151596204</v>
      </c>
      <c r="D371">
        <f t="shared" si="265"/>
        <v>0.45821699307480229</v>
      </c>
      <c r="F371">
        <f t="shared" si="266"/>
        <v>2.2749865007485129E-4</v>
      </c>
      <c r="G371">
        <f t="shared" si="267"/>
        <v>8.7548328807222457E-3</v>
      </c>
      <c r="H371">
        <f t="shared" si="268"/>
        <v>-3.1328378171192779</v>
      </c>
      <c r="J371">
        <f t="shared" si="269"/>
        <v>15</v>
      </c>
      <c r="M371">
        <f t="shared" si="270"/>
        <v>1.0162664193844892E-3</v>
      </c>
      <c r="N371">
        <f t="shared" si="271"/>
        <v>-1.5707963250000001</v>
      </c>
      <c r="O371">
        <f t="shared" si="272"/>
        <v>88.787039920126389</v>
      </c>
      <c r="P371">
        <f t="shared" si="273"/>
        <v>1.5595331836123074</v>
      </c>
      <c r="Q371">
        <f t="shared" si="274"/>
        <v>93.42115006210021</v>
      </c>
      <c r="R371">
        <f t="shared" si="275"/>
        <v>1.5600919081806941</v>
      </c>
      <c r="S371">
        <f t="shared" si="276"/>
        <v>0.9814542047152689</v>
      </c>
      <c r="T371">
        <f t="shared" si="277"/>
        <v>-0.19289066803204416</v>
      </c>
      <c r="U371">
        <f t="shared" si="278"/>
        <v>0.20927015869021734</v>
      </c>
      <c r="V371">
        <f t="shared" si="279"/>
        <v>-1.3599677942045989</v>
      </c>
      <c r="X371">
        <f t="shared" si="296"/>
        <v>-43.625329150783131</v>
      </c>
      <c r="Y371">
        <f t="shared" si="280"/>
        <v>-153.47536973256578</v>
      </c>
      <c r="Z371">
        <f t="shared" si="297"/>
        <v>26.524630267434219</v>
      </c>
      <c r="AC371">
        <v>1</v>
      </c>
      <c r="AD371">
        <f t="shared" si="281"/>
        <v>88.781408289000012</v>
      </c>
      <c r="AE371">
        <f t="shared" si="282"/>
        <v>-0.43789658098767326</v>
      </c>
      <c r="AF371">
        <f t="shared" si="283"/>
        <v>9.3713708749499997E-2</v>
      </c>
      <c r="AG371">
        <f t="shared" si="315"/>
        <v>39.305417670654045</v>
      </c>
      <c r="AH371">
        <f t="shared" si="316"/>
        <v>-194.3334465713273</v>
      </c>
      <c r="AJ371">
        <f t="shared" si="284"/>
        <v>10500</v>
      </c>
      <c r="AK371">
        <f t="shared" si="285"/>
        <v>2050.8505314759004</v>
      </c>
      <c r="AL371">
        <v>1</v>
      </c>
      <c r="AM371">
        <f t="shared" si="286"/>
        <v>93.415797801685812</v>
      </c>
      <c r="AN371">
        <f t="shared" si="317"/>
        <v>23.154577761223287</v>
      </c>
      <c r="AO371">
        <f t="shared" si="318"/>
        <v>-112.15282284994528</v>
      </c>
      <c r="AQ371">
        <f t="shared" si="287"/>
        <v>4.056958068498491E-3</v>
      </c>
      <c r="AR371">
        <f t="shared" si="288"/>
        <v>-6.3694241675426317</v>
      </c>
      <c r="AT371">
        <f t="shared" si="313"/>
        <v>-1237.632690721912</v>
      </c>
      <c r="AU371">
        <f t="shared" si="314"/>
        <v>-251.14127987086775</v>
      </c>
      <c r="AV371">
        <f t="shared" si="302"/>
        <v>-2.9413903215930604</v>
      </c>
      <c r="AW371">
        <f t="shared" si="303"/>
        <v>-662.23743986424108</v>
      </c>
      <c r="AX371">
        <f t="shared" si="304"/>
        <v>-458.87655712507046</v>
      </c>
      <c r="AY371">
        <f t="shared" si="312"/>
        <v>-2.5356352186867546</v>
      </c>
      <c r="BA371">
        <f t="shared" si="289"/>
        <v>1.5674347537093423</v>
      </c>
      <c r="BB371">
        <f t="shared" si="305"/>
        <v>3.9037894373437476</v>
      </c>
      <c r="BC371">
        <f t="shared" si="306"/>
        <v>-0.40575510290630579</v>
      </c>
      <c r="BD371">
        <f t="shared" si="290"/>
        <v>-203.24805493899251</v>
      </c>
      <c r="BF371">
        <f t="shared" si="291"/>
        <v>-44.489133824847158</v>
      </c>
      <c r="BG371">
        <f t="shared" si="292"/>
        <v>-176.49254012965068</v>
      </c>
      <c r="BH371">
        <f t="shared" si="307"/>
        <v>3.5074598703493223</v>
      </c>
      <c r="BI371">
        <f t="shared" si="308"/>
        <v>3.5074598703493223</v>
      </c>
      <c r="BJ371">
        <f t="shared" si="293"/>
        <v>0</v>
      </c>
      <c r="BK371">
        <f t="shared" si="309"/>
        <v>0</v>
      </c>
      <c r="BM371">
        <f t="shared" si="310"/>
        <v>-48.392923262190905</v>
      </c>
      <c r="BN371">
        <f t="shared" si="294"/>
        <v>-153.2444851906582</v>
      </c>
      <c r="BQ371" s="56">
        <f t="shared" si="311"/>
        <v>20.805750237628885</v>
      </c>
      <c r="BR371" s="59"/>
      <c r="BS371" s="59"/>
      <c r="BT371" s="59">
        <v>407380.27799999999</v>
      </c>
      <c r="BU371" s="59">
        <v>14.4298</v>
      </c>
      <c r="BV371" s="59">
        <v>-217.34299999999999</v>
      </c>
      <c r="BW371" s="61"/>
      <c r="BY371" s="59"/>
      <c r="BZ371" s="59"/>
      <c r="CA371" s="59"/>
      <c r="CC371" s="59"/>
    </row>
    <row r="372" spans="1:81" x14ac:dyDescent="0.2">
      <c r="A372">
        <f t="shared" si="319"/>
        <v>790000</v>
      </c>
      <c r="B372">
        <f t="shared" si="295"/>
        <v>790</v>
      </c>
      <c r="C372">
        <f t="shared" si="264"/>
        <v>1.1164160531386691</v>
      </c>
      <c r="D372">
        <f t="shared" si="265"/>
        <v>0.46074070922372073</v>
      </c>
      <c r="F372">
        <f t="shared" si="266"/>
        <v>2.2462748432578185E-4</v>
      </c>
      <c r="G372">
        <f t="shared" si="267"/>
        <v>8.6993998787341376E-3</v>
      </c>
      <c r="H372">
        <f t="shared" si="268"/>
        <v>-3.1328932501212661</v>
      </c>
      <c r="J372">
        <f t="shared" si="269"/>
        <v>15</v>
      </c>
      <c r="M372">
        <f t="shared" si="270"/>
        <v>1.0098343534390179E-3</v>
      </c>
      <c r="N372">
        <f t="shared" si="271"/>
        <v>-1.5707963250000001</v>
      </c>
      <c r="O372">
        <f t="shared" si="272"/>
        <v>89.352490956130794</v>
      </c>
      <c r="P372">
        <f t="shared" si="273"/>
        <v>1.5596044633571189</v>
      </c>
      <c r="Q372">
        <f t="shared" si="274"/>
        <v>94.016121270496058</v>
      </c>
      <c r="R372">
        <f t="shared" si="275"/>
        <v>1.5601596525393726</v>
      </c>
      <c r="S372">
        <f t="shared" si="276"/>
        <v>0.98122383368522026</v>
      </c>
      <c r="T372">
        <f t="shared" si="277"/>
        <v>-0.19408874105853471</v>
      </c>
      <c r="U372">
        <f t="shared" si="278"/>
        <v>0.20800314323939711</v>
      </c>
      <c r="V372">
        <f t="shared" si="279"/>
        <v>-1.3612633201032611</v>
      </c>
      <c r="X372">
        <f t="shared" si="296"/>
        <v>-43.724453070556507</v>
      </c>
      <c r="Y372">
        <f t="shared" si="280"/>
        <v>-153.46885472542499</v>
      </c>
      <c r="Z372">
        <f t="shared" si="297"/>
        <v>26.53114527457501</v>
      </c>
      <c r="AC372">
        <v>1</v>
      </c>
      <c r="AD372">
        <f t="shared" si="281"/>
        <v>89.346894966000008</v>
      </c>
      <c r="AE372">
        <f t="shared" si="282"/>
        <v>-0.44349264667030208</v>
      </c>
      <c r="AF372">
        <f t="shared" si="283"/>
        <v>9.4310611353000007E-2</v>
      </c>
      <c r="AG372">
        <f t="shared" si="315"/>
        <v>38.830913189972293</v>
      </c>
      <c r="AH372">
        <f t="shared" si="316"/>
        <v>-193.2043934594422</v>
      </c>
      <c r="AJ372">
        <f t="shared" si="284"/>
        <v>10500</v>
      </c>
      <c r="AK372">
        <f t="shared" si="285"/>
        <v>2063.9132737146001</v>
      </c>
      <c r="AL372">
        <v>1</v>
      </c>
      <c r="AM372">
        <f t="shared" si="286"/>
        <v>94.01080288322521</v>
      </c>
      <c r="AN372">
        <f t="shared" si="317"/>
        <v>23.139430395011125</v>
      </c>
      <c r="AO372">
        <f t="shared" si="318"/>
        <v>-111.44315598090083</v>
      </c>
      <c r="AQ372">
        <f t="shared" si="287"/>
        <v>4.0057667017438306E-3</v>
      </c>
      <c r="AR372">
        <f t="shared" si="288"/>
        <v>-6.3291113887552521</v>
      </c>
      <c r="AT372">
        <f t="shared" si="313"/>
        <v>-1222.6565794226517</v>
      </c>
      <c r="AU372">
        <f t="shared" si="314"/>
        <v>-246.53910663237062</v>
      </c>
      <c r="AV372">
        <f t="shared" si="302"/>
        <v>-2.94261859902804</v>
      </c>
      <c r="AW372">
        <f t="shared" si="303"/>
        <v>-653.5895040445713</v>
      </c>
      <c r="AX372">
        <f t="shared" si="304"/>
        <v>-455.9450367310709</v>
      </c>
      <c r="AY372">
        <f t="shared" si="312"/>
        <v>-2.5324782164003841</v>
      </c>
      <c r="BA372">
        <f t="shared" si="289"/>
        <v>1.5651274164241176</v>
      </c>
      <c r="BB372">
        <f t="shared" si="305"/>
        <v>3.8909939813859018</v>
      </c>
      <c r="BC372">
        <f t="shared" si="306"/>
        <v>-0.41014038262765595</v>
      </c>
      <c r="BD372">
        <f t="shared" si="290"/>
        <v>-203.49931295929727</v>
      </c>
      <c r="BF372">
        <f t="shared" si="291"/>
        <v>-44.601401517652249</v>
      </c>
      <c r="BG372">
        <f t="shared" si="292"/>
        <v>-176.60237594283149</v>
      </c>
      <c r="BH372">
        <f t="shared" si="307"/>
        <v>3.3976240571685139</v>
      </c>
      <c r="BI372">
        <f t="shared" si="308"/>
        <v>3.3976240571685139</v>
      </c>
      <c r="BJ372">
        <f t="shared" si="293"/>
        <v>0</v>
      </c>
      <c r="BK372">
        <f t="shared" si="309"/>
        <v>0</v>
      </c>
      <c r="BM372">
        <f t="shared" si="310"/>
        <v>-48.492395499038153</v>
      </c>
      <c r="BN372">
        <f t="shared" si="294"/>
        <v>-153.10306298353422</v>
      </c>
      <c r="BQ372" s="56">
        <f t="shared" si="311"/>
        <v>20.792954781671039</v>
      </c>
      <c r="BR372" s="59"/>
      <c r="BS372" s="59"/>
      <c r="BT372" s="59">
        <v>416869.38299999997</v>
      </c>
      <c r="BU372" s="59">
        <v>14.126799999999999</v>
      </c>
      <c r="BV372" s="59">
        <v>-219.017</v>
      </c>
      <c r="BW372" s="61"/>
      <c r="BY372" s="59"/>
      <c r="BZ372" s="59"/>
      <c r="CA372" s="59"/>
      <c r="CC372" s="59"/>
    </row>
    <row r="373" spans="1:81" x14ac:dyDescent="0.2">
      <c r="A373">
        <f t="shared" si="319"/>
        <v>795000</v>
      </c>
      <c r="B373">
        <f t="shared" si="295"/>
        <v>795</v>
      </c>
      <c r="C373">
        <f t="shared" si="264"/>
        <v>1.1178163839798192</v>
      </c>
      <c r="D373">
        <f t="shared" si="265"/>
        <v>0.46325811826374586</v>
      </c>
      <c r="F373">
        <f t="shared" si="266"/>
        <v>2.2181033462212086E-4</v>
      </c>
      <c r="G373">
        <f t="shared" si="267"/>
        <v>8.6446645709681007E-3</v>
      </c>
      <c r="H373">
        <f t="shared" si="268"/>
        <v>-3.1329479854290323</v>
      </c>
      <c r="J373">
        <f t="shared" si="269"/>
        <v>15</v>
      </c>
      <c r="M373">
        <f t="shared" si="270"/>
        <v>1.0034831939834264E-3</v>
      </c>
      <c r="N373">
        <f t="shared" si="271"/>
        <v>-1.5707963250000001</v>
      </c>
      <c r="O373">
        <f t="shared" si="272"/>
        <v>89.917942440407742</v>
      </c>
      <c r="P373">
        <f t="shared" si="273"/>
        <v>1.5596748466129651</v>
      </c>
      <c r="Q373">
        <f t="shared" si="274"/>
        <v>94.611092904933287</v>
      </c>
      <c r="R373">
        <f t="shared" si="275"/>
        <v>1.5602265448635551</v>
      </c>
      <c r="S373">
        <f t="shared" si="276"/>
        <v>0.98099216367389697</v>
      </c>
      <c r="T373">
        <f t="shared" si="277"/>
        <v>-0.19528625006566425</v>
      </c>
      <c r="U373">
        <f t="shared" si="278"/>
        <v>0.2067510368512534</v>
      </c>
      <c r="V373">
        <f t="shared" si="279"/>
        <v>-1.3625432509003679</v>
      </c>
      <c r="X373">
        <f t="shared" si="296"/>
        <v>-43.822894708784489</v>
      </c>
      <c r="Y373">
        <f t="shared" si="280"/>
        <v>-153.46183544765537</v>
      </c>
      <c r="Z373">
        <f t="shared" si="297"/>
        <v>26.538164552344625</v>
      </c>
      <c r="AC373">
        <v>1</v>
      </c>
      <c r="AD373">
        <f t="shared" si="281"/>
        <v>89.912381643000003</v>
      </c>
      <c r="AE373">
        <f t="shared" si="282"/>
        <v>-0.44912424292869357</v>
      </c>
      <c r="AF373">
        <f t="shared" si="283"/>
        <v>9.4907513956500003E-2</v>
      </c>
      <c r="AG373">
        <f t="shared" si="315"/>
        <v>38.364823161933899</v>
      </c>
      <c r="AH373">
        <f t="shared" si="316"/>
        <v>-192.0877641579842</v>
      </c>
      <c r="AJ373">
        <f t="shared" si="284"/>
        <v>10500</v>
      </c>
      <c r="AK373">
        <f t="shared" si="285"/>
        <v>2076.9760159533002</v>
      </c>
      <c r="AL373">
        <v>1</v>
      </c>
      <c r="AM373">
        <f t="shared" si="286"/>
        <v>94.605807964764608</v>
      </c>
      <c r="AN373">
        <f t="shared" si="317"/>
        <v>23.12456788589823</v>
      </c>
      <c r="AO373">
        <f t="shared" si="318"/>
        <v>-110.74241272815043</v>
      </c>
      <c r="AQ373">
        <f t="shared" si="287"/>
        <v>3.9555381687677825E-3</v>
      </c>
      <c r="AR373">
        <f t="shared" si="288"/>
        <v>-6.2893056883407743</v>
      </c>
      <c r="AT373">
        <f t="shared" si="313"/>
        <v>-1207.9469142571161</v>
      </c>
      <c r="AU373">
        <f t="shared" si="314"/>
        <v>-242.04791102741893</v>
      </c>
      <c r="AV373">
        <f t="shared" si="302"/>
        <v>-2.9438321271425112</v>
      </c>
      <c r="AW373">
        <f t="shared" si="303"/>
        <v>-645.10457140338337</v>
      </c>
      <c r="AX373">
        <f t="shared" si="304"/>
        <v>-453.05097888336593</v>
      </c>
      <c r="AY373">
        <f t="shared" si="312"/>
        <v>-2.5293309212580084</v>
      </c>
      <c r="BA373">
        <f t="shared" si="289"/>
        <v>1.5628070037621233</v>
      </c>
      <c r="BB373">
        <f t="shared" si="305"/>
        <v>3.8781069771929837</v>
      </c>
      <c r="BC373">
        <f t="shared" si="306"/>
        <v>-0.41450120588450279</v>
      </c>
      <c r="BD373">
        <f t="shared" si="290"/>
        <v>-203.7491697274026</v>
      </c>
      <c r="BF373">
        <f t="shared" si="291"/>
        <v>-44.713022884919013</v>
      </c>
      <c r="BG373">
        <f t="shared" si="292"/>
        <v>-176.71113189959939</v>
      </c>
      <c r="BH373">
        <f t="shared" si="307"/>
        <v>3.288868100400606</v>
      </c>
      <c r="BI373">
        <f t="shared" si="308"/>
        <v>3.288868100400606</v>
      </c>
      <c r="BJ373">
        <f t="shared" si="293"/>
        <v>0</v>
      </c>
      <c r="BK373">
        <f t="shared" si="309"/>
        <v>0</v>
      </c>
      <c r="BM373">
        <f t="shared" si="310"/>
        <v>-48.591129862112005</v>
      </c>
      <c r="BN373">
        <f t="shared" si="294"/>
        <v>-152.96196217219679</v>
      </c>
      <c r="BQ373" s="56">
        <f t="shared" si="311"/>
        <v>20.780067777478124</v>
      </c>
      <c r="BR373" s="59"/>
      <c r="BS373" s="59"/>
      <c r="BT373" s="59">
        <v>426579.51899999997</v>
      </c>
      <c r="BU373" s="59">
        <v>14.106299999999999</v>
      </c>
      <c r="BV373" s="59">
        <v>-221.39400000000001</v>
      </c>
      <c r="BW373" s="61"/>
      <c r="BY373" s="59"/>
      <c r="BZ373" s="59"/>
      <c r="CA373" s="59"/>
      <c r="CC373" s="59"/>
    </row>
    <row r="374" spans="1:81" x14ac:dyDescent="0.2">
      <c r="A374">
        <f t="shared" si="319"/>
        <v>800000</v>
      </c>
      <c r="B374">
        <f t="shared" si="295"/>
        <v>800</v>
      </c>
      <c r="C374">
        <f t="shared" si="264"/>
        <v>1.119223781060102</v>
      </c>
      <c r="D374">
        <f t="shared" si="265"/>
        <v>0.46576921202112059</v>
      </c>
      <c r="F374">
        <f t="shared" si="266"/>
        <v>2.1904585437055476E-4</v>
      </c>
      <c r="G374">
        <f t="shared" si="267"/>
        <v>8.5906138651596683E-3</v>
      </c>
      <c r="H374">
        <f t="shared" si="268"/>
        <v>-3.1330020361348407</v>
      </c>
      <c r="J374">
        <f t="shared" si="269"/>
        <v>15</v>
      </c>
      <c r="M374">
        <f t="shared" si="270"/>
        <v>9.9721142402103011E-4</v>
      </c>
      <c r="N374">
        <f t="shared" si="271"/>
        <v>-1.5707963250000001</v>
      </c>
      <c r="O374">
        <f t="shared" si="272"/>
        <v>90.483394364553206</v>
      </c>
      <c r="P374">
        <f t="shared" si="273"/>
        <v>1.5597443501862507</v>
      </c>
      <c r="Q374">
        <f t="shared" si="274"/>
        <v>95.206064957424459</v>
      </c>
      <c r="R374">
        <f t="shared" si="275"/>
        <v>1.5602926011265157</v>
      </c>
      <c r="S374">
        <f t="shared" si="276"/>
        <v>0.98075919759377583</v>
      </c>
      <c r="T374">
        <f t="shared" si="277"/>
        <v>-0.19648319201953715</v>
      </c>
      <c r="U374">
        <f t="shared" si="278"/>
        <v>0.20551358409338552</v>
      </c>
      <c r="V374">
        <f t="shared" si="279"/>
        <v>-1.3638078623850762</v>
      </c>
      <c r="X374">
        <f t="shared" si="296"/>
        <v>-43.920662115318876</v>
      </c>
      <c r="Y374">
        <f t="shared" si="280"/>
        <v>-153.45432686729833</v>
      </c>
      <c r="Z374">
        <f t="shared" si="297"/>
        <v>26.545673132701666</v>
      </c>
      <c r="AC374">
        <v>1</v>
      </c>
      <c r="AD374">
        <f t="shared" si="281"/>
        <v>90.477868320000013</v>
      </c>
      <c r="AE374">
        <f t="shared" si="282"/>
        <v>-0.4547913697628479</v>
      </c>
      <c r="AF374">
        <f t="shared" si="283"/>
        <v>9.5504416559999999E-2</v>
      </c>
      <c r="AG374">
        <f t="shared" si="315"/>
        <v>37.906952831020845</v>
      </c>
      <c r="AH374">
        <f t="shared" si="316"/>
        <v>-190.98336661840798</v>
      </c>
      <c r="AJ374">
        <f t="shared" si="284"/>
        <v>10500</v>
      </c>
      <c r="AK374">
        <f t="shared" si="285"/>
        <v>2090.0387581920004</v>
      </c>
      <c r="AL374">
        <v>1</v>
      </c>
      <c r="AM374">
        <f t="shared" si="286"/>
        <v>95.200813046304006</v>
      </c>
      <c r="AN374">
        <f t="shared" si="317"/>
        <v>23.109983136072174</v>
      </c>
      <c r="AO374">
        <f t="shared" si="318"/>
        <v>-110.05042584844472</v>
      </c>
      <c r="AQ374">
        <f t="shared" si="287"/>
        <v>3.90624847412169E-3</v>
      </c>
      <c r="AR374">
        <f t="shared" si="288"/>
        <v>-6.2499975585947034</v>
      </c>
      <c r="AT374">
        <f t="shared" si="313"/>
        <v>-1193.4975011205922</v>
      </c>
      <c r="AU374">
        <f t="shared" si="314"/>
        <v>-237.66439113208065</v>
      </c>
      <c r="AV374">
        <f t="shared" si="302"/>
        <v>-2.9450311658699988</v>
      </c>
      <c r="AW374">
        <f t="shared" si="303"/>
        <v>-636.77856946446195</v>
      </c>
      <c r="AX374">
        <f t="shared" si="304"/>
        <v>-450.19366429626177</v>
      </c>
      <c r="AY374">
        <f t="shared" si="312"/>
        <v>-2.5261933335655216</v>
      </c>
      <c r="BA374">
        <f t="shared" si="289"/>
        <v>1.5604739041966691</v>
      </c>
      <c r="BB374">
        <f t="shared" si="305"/>
        <v>3.8651302071189875</v>
      </c>
      <c r="BC374">
        <f t="shared" si="306"/>
        <v>-0.41883783230447724</v>
      </c>
      <c r="BD374">
        <f t="shared" si="290"/>
        <v>-203.99764011887598</v>
      </c>
      <c r="BF374">
        <f t="shared" si="291"/>
        <v>-44.824005259976367</v>
      </c>
      <c r="BG374">
        <f t="shared" si="292"/>
        <v>-176.81882409397522</v>
      </c>
      <c r="BH374">
        <f t="shared" si="307"/>
        <v>3.1811759060247766</v>
      </c>
      <c r="BI374">
        <f t="shared" si="308"/>
        <v>3.1811759060247766</v>
      </c>
      <c r="BJ374">
        <f t="shared" si="293"/>
        <v>0</v>
      </c>
      <c r="BK374">
        <f t="shared" si="309"/>
        <v>0</v>
      </c>
      <c r="BM374">
        <f t="shared" si="310"/>
        <v>-48.689135467095355</v>
      </c>
      <c r="BN374">
        <f t="shared" si="294"/>
        <v>-152.82118397509927</v>
      </c>
      <c r="BQ374" s="56">
        <f t="shared" si="311"/>
        <v>20.767091007404126</v>
      </c>
      <c r="BR374" s="59"/>
      <c r="BS374" s="59"/>
      <c r="BT374" s="59">
        <v>436515.83199999999</v>
      </c>
      <c r="BU374" s="59">
        <v>13.8226</v>
      </c>
      <c r="BV374" s="59">
        <v>-223.214</v>
      </c>
      <c r="BW374" s="61"/>
      <c r="BY374" s="59"/>
      <c r="BZ374" s="59"/>
      <c r="CA374" s="59"/>
      <c r="CC374" s="59"/>
    </row>
    <row r="375" spans="1:81" x14ac:dyDescent="0.2">
      <c r="A375">
        <f t="shared" si="319"/>
        <v>805000</v>
      </c>
      <c r="B375">
        <f t="shared" si="295"/>
        <v>805</v>
      </c>
      <c r="C375">
        <f t="shared" si="264"/>
        <v>1.1206382177562839</v>
      </c>
      <c r="D375">
        <f t="shared" si="265"/>
        <v>0.46827398268161574</v>
      </c>
      <c r="F375">
        <f t="shared" si="266"/>
        <v>2.1633273868265515E-4</v>
      </c>
      <c r="G375">
        <f t="shared" si="267"/>
        <v>8.5372349946411363E-3</v>
      </c>
      <c r="H375">
        <f t="shared" si="268"/>
        <v>-3.1330554150053591</v>
      </c>
      <c r="J375">
        <f t="shared" si="269"/>
        <v>15</v>
      </c>
      <c r="M375">
        <f t="shared" si="270"/>
        <v>9.9101756424450189E-4</v>
      </c>
      <c r="N375">
        <f t="shared" si="271"/>
        <v>-1.5707963250000001</v>
      </c>
      <c r="O375">
        <f t="shared" si="272"/>
        <v>91.048846720371827</v>
      </c>
      <c r="P375">
        <f t="shared" si="273"/>
        <v>1.5598129904659144</v>
      </c>
      <c r="Q375">
        <f t="shared" si="274"/>
        <v>95.801037420180634</v>
      </c>
      <c r="R375">
        <f t="shared" si="275"/>
        <v>1.5603578369047506</v>
      </c>
      <c r="S375">
        <f t="shared" si="276"/>
        <v>0.98052493836986909</v>
      </c>
      <c r="T375">
        <f t="shared" si="277"/>
        <v>-0.19767956389562974</v>
      </c>
      <c r="U375">
        <f t="shared" si="278"/>
        <v>0.20429053518472964</v>
      </c>
      <c r="V375">
        <f t="shared" si="279"/>
        <v>-1.3650574239801092</v>
      </c>
      <c r="X375">
        <f t="shared" si="296"/>
        <v>-44.017763206709091</v>
      </c>
      <c r="Y375">
        <f t="shared" si="280"/>
        <v>-153.44634359556036</v>
      </c>
      <c r="Z375">
        <f t="shared" si="297"/>
        <v>26.553656404439636</v>
      </c>
      <c r="AC375">
        <v>1</v>
      </c>
      <c r="AD375">
        <f t="shared" si="281"/>
        <v>91.043354997000009</v>
      </c>
      <c r="AE375">
        <f t="shared" si="282"/>
        <v>-0.46049402717276483</v>
      </c>
      <c r="AF375">
        <f t="shared" si="283"/>
        <v>9.6101319163499996E-2</v>
      </c>
      <c r="AG375">
        <f t="shared" si="315"/>
        <v>37.457112953475047</v>
      </c>
      <c r="AH375">
        <f t="shared" si="316"/>
        <v>-189.89101241330181</v>
      </c>
      <c r="AJ375">
        <f t="shared" si="284"/>
        <v>10500</v>
      </c>
      <c r="AK375">
        <f t="shared" si="285"/>
        <v>2103.1015004307001</v>
      </c>
      <c r="AL375">
        <v>1</v>
      </c>
      <c r="AM375">
        <f t="shared" si="286"/>
        <v>95.795818127843404</v>
      </c>
      <c r="AN375">
        <f t="shared" si="317"/>
        <v>23.095669267414408</v>
      </c>
      <c r="AO375">
        <f t="shared" si="318"/>
        <v>-109.36703225135288</v>
      </c>
      <c r="AQ375">
        <f t="shared" si="287"/>
        <v>3.8578743652349966E-3</v>
      </c>
      <c r="AR375">
        <f t="shared" si="288"/>
        <v>-6.2111777280283444</v>
      </c>
      <c r="AT375">
        <f t="shared" si="313"/>
        <v>-1179.3023222183951</v>
      </c>
      <c r="AU375">
        <f t="shared" si="314"/>
        <v>-233.38536140184402</v>
      </c>
      <c r="AV375">
        <f t="shared" si="302"/>
        <v>-2.9462159691714387</v>
      </c>
      <c r="AW375">
        <f t="shared" si="303"/>
        <v>-628.60755218203758</v>
      </c>
      <c r="AX375">
        <f t="shared" si="304"/>
        <v>-447.37239215244085</v>
      </c>
      <c r="AY375">
        <f t="shared" si="312"/>
        <v>-2.5230654527926637</v>
      </c>
      <c r="BA375">
        <f t="shared" si="289"/>
        <v>1.5581284978281853</v>
      </c>
      <c r="BB375">
        <f t="shared" si="305"/>
        <v>3.8520654158517909</v>
      </c>
      <c r="BC375">
        <f t="shared" si="306"/>
        <v>-0.42315051637877499</v>
      </c>
      <c r="BD375">
        <f t="shared" si="290"/>
        <v>-204.24473871498887</v>
      </c>
      <c r="BF375">
        <f t="shared" si="291"/>
        <v>-44.934355849501799</v>
      </c>
      <c r="BG375">
        <f t="shared" si="292"/>
        <v>-176.92546828642895</v>
      </c>
      <c r="BH375">
        <f t="shared" si="307"/>
        <v>3.0745317135710479</v>
      </c>
      <c r="BI375">
        <f t="shared" si="308"/>
        <v>3.0745317135710479</v>
      </c>
      <c r="BJ375">
        <f t="shared" si="293"/>
        <v>0</v>
      </c>
      <c r="BK375">
        <f t="shared" si="309"/>
        <v>0</v>
      </c>
      <c r="BM375">
        <f t="shared" si="310"/>
        <v>-48.786421265353582</v>
      </c>
      <c r="BN375">
        <f t="shared" si="294"/>
        <v>-152.68072957144008</v>
      </c>
      <c r="BQ375" s="56">
        <f t="shared" si="311"/>
        <v>20.754026216136928</v>
      </c>
      <c r="BR375" s="59"/>
      <c r="BS375" s="59"/>
      <c r="BT375" s="59">
        <v>446683.592</v>
      </c>
      <c r="BU375" s="59">
        <v>13.599500000000001</v>
      </c>
      <c r="BV375" s="59">
        <v>-225.053</v>
      </c>
      <c r="BW375" s="61"/>
      <c r="BY375" s="59"/>
      <c r="BZ375" s="59"/>
      <c r="CA375" s="59"/>
      <c r="CC375" s="59"/>
    </row>
    <row r="376" spans="1:81" x14ac:dyDescent="0.2">
      <c r="A376">
        <f t="shared" si="319"/>
        <v>810000</v>
      </c>
      <c r="B376">
        <f t="shared" si="295"/>
        <v>810</v>
      </c>
      <c r="C376">
        <f t="shared" si="264"/>
        <v>1.1220596674465431</v>
      </c>
      <c r="D376">
        <f t="shared" si="265"/>
        <v>0.47077242278766518</v>
      </c>
      <c r="F376">
        <f t="shared" si="266"/>
        <v>2.1366972283437912E-4</v>
      </c>
      <c r="G376">
        <f t="shared" si="267"/>
        <v>8.4845155082803898E-3</v>
      </c>
      <c r="H376">
        <f t="shared" si="268"/>
        <v>-3.13310813449172</v>
      </c>
      <c r="J376">
        <f t="shared" si="269"/>
        <v>15</v>
      </c>
      <c r="M376">
        <f t="shared" si="270"/>
        <v>9.8490017187262218E-4</v>
      </c>
      <c r="N376">
        <f t="shared" si="271"/>
        <v>-1.5707963250000001</v>
      </c>
      <c r="O376">
        <f t="shared" si="272"/>
        <v>91.61429949987064</v>
      </c>
      <c r="P376">
        <f t="shared" si="273"/>
        <v>1.5598807834363122</v>
      </c>
      <c r="Q376">
        <f t="shared" si="274"/>
        <v>96.396010285605129</v>
      </c>
      <c r="R376">
        <f t="shared" si="275"/>
        <v>1.5604222673902206</v>
      </c>
      <c r="S376">
        <f t="shared" si="276"/>
        <v>0.98028938893962703</v>
      </c>
      <c r="T376">
        <f t="shared" si="277"/>
        <v>-0.19887536267882622</v>
      </c>
      <c r="U376">
        <f t="shared" si="278"/>
        <v>0.20308164584474531</v>
      </c>
      <c r="V376">
        <f t="shared" si="279"/>
        <v>-1.3662921989214811</v>
      </c>
      <c r="X376">
        <f t="shared" si="296"/>
        <v>-44.114205769134514</v>
      </c>
      <c r="Y376">
        <f t="shared" si="280"/>
        <v>-153.4378998964138</v>
      </c>
      <c r="Z376">
        <f t="shared" si="297"/>
        <v>26.562100103586204</v>
      </c>
      <c r="AC376">
        <v>1</v>
      </c>
      <c r="AD376">
        <f t="shared" si="281"/>
        <v>91.608841674000004</v>
      </c>
      <c r="AE376">
        <f t="shared" si="282"/>
        <v>-0.46623221515844449</v>
      </c>
      <c r="AF376">
        <f t="shared" si="283"/>
        <v>9.6698221767000006E-2</v>
      </c>
      <c r="AG376">
        <f t="shared" si="315"/>
        <v>37.015119614402806</v>
      </c>
      <c r="AH376">
        <f t="shared" si="316"/>
        <v>-188.81051666255721</v>
      </c>
      <c r="AJ376">
        <f t="shared" si="284"/>
        <v>10500</v>
      </c>
      <c r="AK376">
        <f t="shared" si="285"/>
        <v>2116.1642426694002</v>
      </c>
      <c r="AL376">
        <v>1</v>
      </c>
      <c r="AM376">
        <f t="shared" si="286"/>
        <v>96.390823209382816</v>
      </c>
      <c r="AN376">
        <f t="shared" si="317"/>
        <v>23.081619613390782</v>
      </c>
      <c r="AO376">
        <f t="shared" si="318"/>
        <v>-108.6920728711732</v>
      </c>
      <c r="AQ376">
        <f t="shared" si="287"/>
        <v>3.8103933049865473E-3</v>
      </c>
      <c r="AR376">
        <f t="shared" si="288"/>
        <v>-6.1728371540782065</v>
      </c>
      <c r="AT376">
        <f t="shared" si="313"/>
        <v>-1165.3555301713734</v>
      </c>
      <c r="AU376">
        <f t="shared" si="314"/>
        <v>-229.20774794703669</v>
      </c>
      <c r="AV376">
        <f t="shared" si="302"/>
        <v>-2.947386785202748</v>
      </c>
      <c r="AW376">
        <f t="shared" si="303"/>
        <v>-620.58769525884043</v>
      </c>
      <c r="AX376">
        <f t="shared" si="304"/>
        <v>-444.58647950788111</v>
      </c>
      <c r="AY376">
        <f t="shared" si="312"/>
        <v>-2.519947277592185</v>
      </c>
      <c r="BA376">
        <f t="shared" si="289"/>
        <v>1.5557711566126498</v>
      </c>
      <c r="BB376">
        <f t="shared" si="305"/>
        <v>3.83891431156378</v>
      </c>
      <c r="BC376">
        <f t="shared" si="306"/>
        <v>-0.42743950761056304</v>
      </c>
      <c r="BD376">
        <f t="shared" si="290"/>
        <v>-204.49047981121976</v>
      </c>
      <c r="BF376">
        <f t="shared" si="291"/>
        <v>-45.044081736395285</v>
      </c>
      <c r="BG376">
        <f t="shared" si="292"/>
        <v>-177.03107991312342</v>
      </c>
      <c r="BH376">
        <f t="shared" si="307"/>
        <v>2.9689200868765795</v>
      </c>
      <c r="BI376">
        <f t="shared" si="308"/>
        <v>2.9689200868765795</v>
      </c>
      <c r="BJ376">
        <f t="shared" si="293"/>
        <v>0</v>
      </c>
      <c r="BK376">
        <f t="shared" si="309"/>
        <v>0</v>
      </c>
      <c r="BM376">
        <f t="shared" si="310"/>
        <v>-48.882996047959054</v>
      </c>
      <c r="BN376">
        <f t="shared" si="294"/>
        <v>-152.54060010190369</v>
      </c>
      <c r="BQ376" s="56">
        <f t="shared" si="311"/>
        <v>20.740875111848919</v>
      </c>
      <c r="BR376" s="59"/>
      <c r="BS376" s="59"/>
      <c r="BT376" s="59">
        <v>457088.19</v>
      </c>
      <c r="BU376" s="59">
        <v>13.3674</v>
      </c>
      <c r="BV376" s="59">
        <v>-226.50200000000001</v>
      </c>
      <c r="BW376" s="61"/>
      <c r="BY376" s="59"/>
      <c r="BZ376" s="59"/>
      <c r="CA376" s="59"/>
      <c r="CC376" s="59"/>
    </row>
    <row r="377" spans="1:81" x14ac:dyDescent="0.2">
      <c r="A377">
        <f t="shared" si="319"/>
        <v>815000</v>
      </c>
      <c r="B377">
        <f t="shared" si="295"/>
        <v>815</v>
      </c>
      <c r="C377">
        <f t="shared" si="264"/>
        <v>1.1234881035121247</v>
      </c>
      <c r="D377">
        <f t="shared" si="265"/>
        <v>0.47326452523548151</v>
      </c>
      <c r="F377">
        <f t="shared" si="266"/>
        <v>2.1105558079155388E-4</v>
      </c>
      <c r="G377">
        <f t="shared" si="267"/>
        <v>8.4324432607906421E-3</v>
      </c>
      <c r="H377">
        <f t="shared" si="268"/>
        <v>-3.1331602067392095</v>
      </c>
      <c r="J377">
        <f t="shared" si="269"/>
        <v>15</v>
      </c>
      <c r="M377">
        <f t="shared" si="270"/>
        <v>9.7885783952984546E-4</v>
      </c>
      <c r="N377">
        <f t="shared" si="271"/>
        <v>-1.5707963250000001</v>
      </c>
      <c r="O377">
        <f t="shared" si="272"/>
        <v>92.179752695252773</v>
      </c>
      <c r="P377">
        <f t="shared" si="273"/>
        <v>1.5599477446896228</v>
      </c>
      <c r="Q377">
        <f t="shared" si="274"/>
        <v>96.990983546287666</v>
      </c>
      <c r="R377">
        <f t="shared" si="275"/>
        <v>1.5604859074021444</v>
      </c>
      <c r="S377">
        <f t="shared" si="276"/>
        <v>0.98005255225284216</v>
      </c>
      <c r="T377">
        <f t="shared" si="277"/>
        <v>-0.20007058536345459</v>
      </c>
      <c r="U377">
        <f t="shared" si="278"/>
        <v>0.20188667714723416</v>
      </c>
      <c r="V377">
        <f t="shared" si="279"/>
        <v>-1.3675124444322722</v>
      </c>
      <c r="X377">
        <f t="shared" si="296"/>
        <v>-44.209997461256727</v>
      </c>
      <c r="Y377">
        <f t="shared" si="280"/>
        <v>-153.42900969588899</v>
      </c>
      <c r="Z377">
        <f t="shared" si="297"/>
        <v>26.570990304111007</v>
      </c>
      <c r="AC377">
        <v>1</v>
      </c>
      <c r="AD377">
        <f t="shared" si="281"/>
        <v>92.174328351</v>
      </c>
      <c r="AE377">
        <f t="shared" si="282"/>
        <v>-0.47200593371988692</v>
      </c>
      <c r="AF377">
        <f t="shared" si="283"/>
        <v>9.7295124370500002E-2</v>
      </c>
      <c r="AG377">
        <f t="shared" si="315"/>
        <v>36.580794051785851</v>
      </c>
      <c r="AH377">
        <f t="shared" si="316"/>
        <v>-187.74169796083274</v>
      </c>
      <c r="AJ377">
        <f t="shared" si="284"/>
        <v>10500</v>
      </c>
      <c r="AK377">
        <f t="shared" si="285"/>
        <v>2129.2269849081003</v>
      </c>
      <c r="AL377">
        <v>1</v>
      </c>
      <c r="AM377">
        <f t="shared" si="286"/>
        <v>96.985828290922214</v>
      </c>
      <c r="AN377">
        <f t="shared" si="317"/>
        <v>23.067827711289034</v>
      </c>
      <c r="AO377">
        <f t="shared" si="318"/>
        <v>-108.02539254355517</v>
      </c>
      <c r="AQ377">
        <f t="shared" si="287"/>
        <v>3.7637834454501691E-3</v>
      </c>
      <c r="AR377">
        <f t="shared" si="288"/>
        <v>-6.1349670160837757</v>
      </c>
      <c r="AT377">
        <f t="shared" si="313"/>
        <v>-1151.6514423461979</v>
      </c>
      <c r="AU377">
        <f t="shared" si="314"/>
        <v>-225.12858402466546</v>
      </c>
      <c r="AV377">
        <f t="shared" si="302"/>
        <v>-2.9485438564768964</v>
      </c>
      <c r="AW377">
        <f t="shared" si="303"/>
        <v>-612.71529166521805</v>
      </c>
      <c r="AX377">
        <f t="shared" si="304"/>
        <v>-441.83526071988541</v>
      </c>
      <c r="AY377">
        <f t="shared" si="312"/>
        <v>-2.5168388058185291</v>
      </c>
      <c r="BA377">
        <f t="shared" si="289"/>
        <v>1.5534022445815523</v>
      </c>
      <c r="BB377">
        <f t="shared" si="305"/>
        <v>3.8256785670163551</v>
      </c>
      <c r="BC377">
        <f t="shared" si="306"/>
        <v>-0.43170505065836728</v>
      </c>
      <c r="BD377">
        <f t="shared" si="290"/>
        <v>-204.73487742546956</v>
      </c>
      <c r="BF377">
        <f t="shared" si="291"/>
        <v>-45.15318988257502</v>
      </c>
      <c r="BG377">
        <f t="shared" si="292"/>
        <v>-177.13567409485029</v>
      </c>
      <c r="BH377">
        <f t="shared" si="307"/>
        <v>2.8643259051497125</v>
      </c>
      <c r="BI377">
        <f t="shared" si="308"/>
        <v>2.8643259051497125</v>
      </c>
      <c r="BJ377">
        <f t="shared" si="293"/>
        <v>0</v>
      </c>
      <c r="BK377">
        <f t="shared" si="309"/>
        <v>0</v>
      </c>
      <c r="BM377">
        <f t="shared" si="310"/>
        <v>-48.978868449591381</v>
      </c>
      <c r="BN377">
        <f t="shared" si="294"/>
        <v>-152.40079666938072</v>
      </c>
      <c r="BQ377" s="56">
        <f t="shared" si="311"/>
        <v>20.727639367301492</v>
      </c>
      <c r="BR377" s="59"/>
      <c r="BS377" s="59"/>
      <c r="BT377" s="59">
        <v>467735.141</v>
      </c>
      <c r="BU377" s="59">
        <v>13.1959</v>
      </c>
      <c r="BV377" s="59">
        <v>131.81700000000001</v>
      </c>
      <c r="BY377" s="59"/>
      <c r="BZ377" s="59"/>
      <c r="CA377" s="59"/>
      <c r="CC377" s="59"/>
    </row>
    <row r="378" spans="1:81" x14ac:dyDescent="0.2">
      <c r="A378">
        <f t="shared" si="319"/>
        <v>820000</v>
      </c>
      <c r="B378">
        <f t="shared" si="295"/>
        <v>820</v>
      </c>
      <c r="C378">
        <f t="shared" si="264"/>
        <v>1.1249234993389778</v>
      </c>
      <c r="D378">
        <f t="shared" si="265"/>
        <v>0.47575028327215169</v>
      </c>
      <c r="F378">
        <f t="shared" si="266"/>
        <v>2.0848912379813571E-4</v>
      </c>
      <c r="G378">
        <f t="shared" si="267"/>
        <v>8.3810064033951227E-3</v>
      </c>
      <c r="H378">
        <f t="shared" si="268"/>
        <v>-3.1332116435966051</v>
      </c>
      <c r="J378">
        <f t="shared" si="269"/>
        <v>15</v>
      </c>
      <c r="M378">
        <f t="shared" si="270"/>
        <v>9.7288919416685859E-4</v>
      </c>
      <c r="N378">
        <f t="shared" si="271"/>
        <v>-1.5707963250000001</v>
      </c>
      <c r="O378">
        <f t="shared" si="272"/>
        <v>92.745206298911512</v>
      </c>
      <c r="P378">
        <f t="shared" si="273"/>
        <v>1.5600138894378033</v>
      </c>
      <c r="Q378">
        <f t="shared" si="274"/>
        <v>97.585957194998684</v>
      </c>
      <c r="R378">
        <f t="shared" si="275"/>
        <v>1.560548771398361</v>
      </c>
      <c r="S378">
        <f t="shared" si="276"/>
        <v>0.97981443127155277</v>
      </c>
      <c r="T378">
        <f t="shared" si="277"/>
        <v>-0.20126522895332213</v>
      </c>
      <c r="U378">
        <f t="shared" si="278"/>
        <v>0.20070539537863302</v>
      </c>
      <c r="V378">
        <f t="shared" si="279"/>
        <v>-1.3687184118906781</v>
      </c>
      <c r="X378">
        <f t="shared" si="296"/>
        <v>-44.305145816994226</v>
      </c>
      <c r="Y378">
        <f t="shared" si="280"/>
        <v>-153.41968659107096</v>
      </c>
      <c r="Z378">
        <f t="shared" si="297"/>
        <v>26.580313408929044</v>
      </c>
      <c r="AC378">
        <v>1</v>
      </c>
      <c r="AD378">
        <f t="shared" si="281"/>
        <v>92.73981502800001</v>
      </c>
      <c r="AE378">
        <f t="shared" si="282"/>
        <v>-0.47781518285709212</v>
      </c>
      <c r="AF378">
        <f t="shared" si="283"/>
        <v>9.7892026973999999E-2</v>
      </c>
      <c r="AG378">
        <f t="shared" si="315"/>
        <v>36.153962487108743</v>
      </c>
      <c r="AH378">
        <f t="shared" si="316"/>
        <v>-186.68437830631606</v>
      </c>
      <c r="AJ378">
        <f t="shared" si="284"/>
        <v>10500</v>
      </c>
      <c r="AK378">
        <f t="shared" si="285"/>
        <v>2142.2897271468</v>
      </c>
      <c r="AL378">
        <v>1</v>
      </c>
      <c r="AM378">
        <f t="shared" si="286"/>
        <v>97.580833372461612</v>
      </c>
      <c r="AN378">
        <f t="shared" si="317"/>
        <v>23.054287294786622</v>
      </c>
      <c r="AO378">
        <f t="shared" si="318"/>
        <v>-107.36683988663211</v>
      </c>
      <c r="AQ378">
        <f t="shared" si="287"/>
        <v>3.7180236027574351E-3</v>
      </c>
      <c r="AR378">
        <f t="shared" si="288"/>
        <v>-6.0975587085221932</v>
      </c>
      <c r="AT378">
        <f t="shared" si="313"/>
        <v>-1138.1845354008688</v>
      </c>
      <c r="AU378">
        <f t="shared" si="314"/>
        <v>-221.14500573566357</v>
      </c>
      <c r="AV378">
        <f t="shared" si="302"/>
        <v>-2.9496874200206769</v>
      </c>
      <c r="AW378">
        <f t="shared" si="303"/>
        <v>-604.98674734950293</v>
      </c>
      <c r="AX378">
        <f t="shared" si="304"/>
        <v>-439.11808689717043</v>
      </c>
      <c r="AY378">
        <f t="shared" si="312"/>
        <v>-2.5137400345460548</v>
      </c>
      <c r="BA378">
        <f t="shared" si="289"/>
        <v>1.5510221180537829</v>
      </c>
      <c r="BB378">
        <f t="shared" si="305"/>
        <v>3.8123598206204878</v>
      </c>
      <c r="BC378">
        <f t="shared" si="306"/>
        <v>-0.43594738547462208</v>
      </c>
      <c r="BD378">
        <f t="shared" si="290"/>
        <v>-204.97794530600012</v>
      </c>
      <c r="BF378">
        <f t="shared" si="291"/>
        <v>-45.261687131697414</v>
      </c>
      <c r="BG378">
        <f t="shared" si="292"/>
        <v>-177.23926564566972</v>
      </c>
      <c r="BH378">
        <f t="shared" si="307"/>
        <v>2.7607343543302818</v>
      </c>
      <c r="BI378">
        <f t="shared" si="308"/>
        <v>2.7607343543302818</v>
      </c>
      <c r="BJ378">
        <f t="shared" si="293"/>
        <v>0</v>
      </c>
      <c r="BK378">
        <f t="shared" si="309"/>
        <v>0</v>
      </c>
      <c r="BM378">
        <f t="shared" si="310"/>
        <v>-49.0740469523179</v>
      </c>
      <c r="BN378">
        <f t="shared" si="294"/>
        <v>-152.26132033966962</v>
      </c>
      <c r="BQ378" s="56">
        <f t="shared" si="311"/>
        <v>20.714320620905621</v>
      </c>
      <c r="BR378" s="59"/>
      <c r="BS378" s="59"/>
      <c r="BT378" s="59">
        <v>478630.092</v>
      </c>
      <c r="BU378" s="59">
        <v>13.0069</v>
      </c>
      <c r="BV378" s="59">
        <v>129.95699999999999</v>
      </c>
      <c r="BY378" s="59"/>
      <c r="BZ378" s="59"/>
      <c r="CA378" s="59"/>
      <c r="CC378" s="59"/>
    </row>
    <row r="379" spans="1:81" x14ac:dyDescent="0.2">
      <c r="A379">
        <f t="shared" si="319"/>
        <v>825000</v>
      </c>
      <c r="B379">
        <f t="shared" si="295"/>
        <v>825</v>
      </c>
      <c r="C379">
        <f t="shared" si="264"/>
        <v>1.1263658283193738</v>
      </c>
      <c r="D379">
        <f t="shared" si="265"/>
        <v>0.47822969049271558</v>
      </c>
      <c r="F379">
        <f t="shared" si="266"/>
        <v>2.0596919902420615E-4</v>
      </c>
      <c r="G379">
        <f t="shared" si="267"/>
        <v>8.3301933748317191E-3</v>
      </c>
      <c r="H379">
        <f t="shared" si="268"/>
        <v>-3.1332624566251686</v>
      </c>
      <c r="J379">
        <f t="shared" si="269"/>
        <v>15</v>
      </c>
      <c r="M379">
        <f t="shared" si="270"/>
        <v>9.6699289602039272E-4</v>
      </c>
      <c r="N379">
        <f t="shared" si="271"/>
        <v>-1.5707963250000001</v>
      </c>
      <c r="O379">
        <f t="shared" si="272"/>
        <v>93.31066030342447</v>
      </c>
      <c r="P379">
        <f t="shared" si="273"/>
        <v>1.5600792325241069</v>
      </c>
      <c r="Q379">
        <f t="shared" si="274"/>
        <v>98.18093122468386</v>
      </c>
      <c r="R379">
        <f t="shared" si="275"/>
        <v>1.5606108734862771</v>
      </c>
      <c r="S379">
        <f t="shared" si="276"/>
        <v>0.97957502896994497</v>
      </c>
      <c r="T379">
        <f t="shared" si="277"/>
        <v>-0.20245929046175046</v>
      </c>
      <c r="U379">
        <f t="shared" si="278"/>
        <v>0.19953757190062976</v>
      </c>
      <c r="V379">
        <f t="shared" si="279"/>
        <v>-1.3699103469925498</v>
      </c>
      <c r="X379">
        <f t="shared" si="296"/>
        <v>-44.399658248222174</v>
      </c>
      <c r="Y379">
        <f t="shared" si="280"/>
        <v>-153.40994385880882</v>
      </c>
      <c r="Z379">
        <f t="shared" si="297"/>
        <v>26.590056141191184</v>
      </c>
      <c r="AC379">
        <v>1</v>
      </c>
      <c r="AD379">
        <f t="shared" si="281"/>
        <v>93.305301705000005</v>
      </c>
      <c r="AE379">
        <f t="shared" si="282"/>
        <v>-0.48365996257005994</v>
      </c>
      <c r="AF379">
        <f t="shared" si="283"/>
        <v>9.8488929577499995E-2</v>
      </c>
      <c r="AG379">
        <f t="shared" si="315"/>
        <v>35.734455962325924</v>
      </c>
      <c r="AH379">
        <f t="shared" si="316"/>
        <v>-185.6383830307856</v>
      </c>
      <c r="AJ379">
        <f t="shared" si="284"/>
        <v>10500</v>
      </c>
      <c r="AK379">
        <f t="shared" si="285"/>
        <v>2155.3524693855002</v>
      </c>
      <c r="AL379">
        <v>1</v>
      </c>
      <c r="AM379">
        <f t="shared" si="286"/>
        <v>98.17583845400101</v>
      </c>
      <c r="AN379">
        <f t="shared" si="317"/>
        <v>23.040992286832726</v>
      </c>
      <c r="AO379">
        <f t="shared" si="318"/>
        <v>-106.71626718647285</v>
      </c>
      <c r="AQ379">
        <f t="shared" si="287"/>
        <v>3.6730932330236057E-3</v>
      </c>
      <c r="AR379">
        <f t="shared" si="288"/>
        <v>-6.0606038344889495</v>
      </c>
      <c r="AT379">
        <f t="shared" si="313"/>
        <v>-1124.9494400363265</v>
      </c>
      <c r="AU379">
        <f t="shared" si="314"/>
        <v>-217.2542479171488</v>
      </c>
      <c r="AV379">
        <f t="shared" si="302"/>
        <v>-2.9508177075263795</v>
      </c>
      <c r="AW379">
        <f t="shared" si="303"/>
        <v>-597.39857713036315</v>
      </c>
      <c r="AX379">
        <f t="shared" si="304"/>
        <v>-436.43432537101899</v>
      </c>
      <c r="AY379">
        <f t="shared" si="312"/>
        <v>-2.5106509600868181</v>
      </c>
      <c r="BA379">
        <f t="shared" si="289"/>
        <v>1.5486311258397962</v>
      </c>
      <c r="BB379">
        <f t="shared" si="305"/>
        <v>3.7989596774553345</v>
      </c>
      <c r="BC379">
        <f t="shared" si="306"/>
        <v>-0.44016674743956141</v>
      </c>
      <c r="BD379">
        <f t="shared" si="290"/>
        <v>-205.2196969391054</v>
      </c>
      <c r="BF379">
        <f t="shared" si="291"/>
        <v>-45.369580211803594</v>
      </c>
      <c r="BG379">
        <f t="shared" si="292"/>
        <v>-177.34186908126441</v>
      </c>
      <c r="BH379">
        <f t="shared" si="307"/>
        <v>2.6581309187355942</v>
      </c>
      <c r="BI379">
        <f t="shared" si="308"/>
        <v>2.6581309187355942</v>
      </c>
      <c r="BJ379">
        <f t="shared" si="293"/>
        <v>0</v>
      </c>
      <c r="BK379">
        <f t="shared" si="309"/>
        <v>0</v>
      </c>
      <c r="BM379">
        <f t="shared" si="310"/>
        <v>-49.168539889258923</v>
      </c>
      <c r="BN379">
        <f t="shared" si="294"/>
        <v>-152.122172142159</v>
      </c>
      <c r="BQ379" s="56">
        <f t="shared" si="311"/>
        <v>20.700920477740471</v>
      </c>
      <c r="BR379" s="59"/>
      <c r="BS379" s="59"/>
      <c r="BT379" s="59">
        <v>489778.81900000002</v>
      </c>
      <c r="BU379" s="59">
        <v>12.7394</v>
      </c>
      <c r="BV379" s="59">
        <v>126.41800000000001</v>
      </c>
      <c r="BY379" s="59"/>
      <c r="BZ379" s="59"/>
      <c r="CA379" s="59"/>
      <c r="CC379" s="59"/>
    </row>
    <row r="380" spans="1:81" x14ac:dyDescent="0.2">
      <c r="A380">
        <f t="shared" si="319"/>
        <v>830000</v>
      </c>
      <c r="B380">
        <f t="shared" si="295"/>
        <v>830</v>
      </c>
      <c r="C380">
        <f t="shared" si="264"/>
        <v>1.1278150638535041</v>
      </c>
      <c r="D380">
        <f t="shared" si="265"/>
        <v>0.48070274083722725</v>
      </c>
      <c r="F380">
        <f t="shared" si="266"/>
        <v>2.034946882708354E-4</v>
      </c>
      <c r="G380">
        <f t="shared" si="267"/>
        <v>8.2799928926831634E-3</v>
      </c>
      <c r="H380">
        <f t="shared" si="268"/>
        <v>-3.1333126571073171</v>
      </c>
      <c r="J380">
        <f t="shared" si="269"/>
        <v>15</v>
      </c>
      <c r="M380">
        <f t="shared" si="270"/>
        <v>9.6116763761063147E-4</v>
      </c>
      <c r="N380">
        <f t="shared" si="271"/>
        <v>-1.5707963250000001</v>
      </c>
      <c r="O380">
        <f t="shared" si="272"/>
        <v>93.876114701548133</v>
      </c>
      <c r="P380">
        <f t="shared" si="273"/>
        <v>1.5601437884341867</v>
      </c>
      <c r="Q380">
        <f t="shared" si="274"/>
        <v>98.775905628458815</v>
      </c>
      <c r="R380">
        <f t="shared" si="275"/>
        <v>1.560672227433421</v>
      </c>
      <c r="S380">
        <f t="shared" si="276"/>
        <v>0.97933434833425637</v>
      </c>
      <c r="T380">
        <f t="shared" si="277"/>
        <v>-0.20365276691161033</v>
      </c>
      <c r="U380">
        <f t="shared" si="278"/>
        <v>0.19838298301695456</v>
      </c>
      <c r="V380">
        <f t="shared" si="279"/>
        <v>-1.3710884899086262</v>
      </c>
      <c r="X380">
        <f t="shared" si="296"/>
        <v>-44.49354204739933</v>
      </c>
      <c r="Y380">
        <f t="shared" si="280"/>
        <v>-153.39979446415163</v>
      </c>
      <c r="Z380">
        <f t="shared" si="297"/>
        <v>26.600205535848374</v>
      </c>
      <c r="AC380">
        <v>1</v>
      </c>
      <c r="AD380">
        <f t="shared" si="281"/>
        <v>93.870788382000001</v>
      </c>
      <c r="AE380">
        <f t="shared" si="282"/>
        <v>-0.48954027285879054</v>
      </c>
      <c r="AF380">
        <f t="shared" si="283"/>
        <v>9.9085832181000005E-2</v>
      </c>
      <c r="AG380">
        <f t="shared" si="315"/>
        <v>35.322110182904431</v>
      </c>
      <c r="AH380">
        <f t="shared" si="316"/>
        <v>-184.60354073097008</v>
      </c>
      <c r="AJ380">
        <f t="shared" si="284"/>
        <v>10500</v>
      </c>
      <c r="AK380">
        <f t="shared" si="285"/>
        <v>2168.4152116242003</v>
      </c>
      <c r="AL380">
        <v>1</v>
      </c>
      <c r="AM380">
        <f t="shared" si="286"/>
        <v>98.770843535540408</v>
      </c>
      <c r="AN380">
        <f t="shared" si="317"/>
        <v>23.027936792829443</v>
      </c>
      <c r="AO380">
        <f t="shared" si="318"/>
        <v>-106.07353028667082</v>
      </c>
      <c r="AQ380">
        <f t="shared" si="287"/>
        <v>3.6289724092856694E-3</v>
      </c>
      <c r="AR380">
        <f t="shared" si="288"/>
        <v>-6.0240941994142112</v>
      </c>
      <c r="AT380">
        <f t="shared" si="313"/>
        <v>-1111.9409359454705</v>
      </c>
      <c r="AU380">
        <f t="shared" si="314"/>
        <v>-213.45364021987334</v>
      </c>
      <c r="AV380">
        <f t="shared" si="302"/>
        <v>-2.9519349454985493</v>
      </c>
      <c r="AW380">
        <f t="shared" si="303"/>
        <v>-589.94740076235951</v>
      </c>
      <c r="AX380">
        <f t="shared" si="304"/>
        <v>-433.78335918654807</v>
      </c>
      <c r="AY380">
        <f t="shared" si="312"/>
        <v>-2.5075715780079291</v>
      </c>
      <c r="BA380">
        <f t="shared" si="289"/>
        <v>1.5462296094384003</v>
      </c>
      <c r="BB380">
        <f t="shared" si="305"/>
        <v>3.7854797102468503</v>
      </c>
      <c r="BC380">
        <f t="shared" si="306"/>
        <v>-0.44436336749062022</v>
      </c>
      <c r="BD380">
        <f t="shared" si="290"/>
        <v>-205.46014555652582</v>
      </c>
      <c r="BF380">
        <f t="shared" si="291"/>
        <v>-45.476875737894858</v>
      </c>
      <c r="BG380">
        <f t="shared" si="292"/>
        <v>-177.44349862701893</v>
      </c>
      <c r="BH380">
        <f t="shared" si="307"/>
        <v>2.5565013729810744</v>
      </c>
      <c r="BI380">
        <f t="shared" si="308"/>
        <v>2.5565013729810744</v>
      </c>
      <c r="BJ380">
        <f t="shared" si="293"/>
        <v>0</v>
      </c>
      <c r="BK380">
        <f t="shared" si="309"/>
        <v>0</v>
      </c>
      <c r="BM380">
        <f t="shared" si="310"/>
        <v>-49.262355448141705</v>
      </c>
      <c r="BN380">
        <f t="shared" si="294"/>
        <v>-151.98335307049314</v>
      </c>
      <c r="BQ380" s="56">
        <f t="shared" si="311"/>
        <v>20.687440510531985</v>
      </c>
      <c r="BR380" s="59"/>
      <c r="BS380" s="59"/>
      <c r="BT380" s="59">
        <v>501187.234</v>
      </c>
      <c r="BU380" s="59">
        <v>12.4757</v>
      </c>
      <c r="BV380" s="59">
        <v>125.40900000000001</v>
      </c>
      <c r="BY380" s="59"/>
      <c r="BZ380" s="59"/>
      <c r="CA380" s="59"/>
      <c r="CC380" s="59"/>
    </row>
    <row r="381" spans="1:81" x14ac:dyDescent="0.2">
      <c r="A381">
        <f t="shared" si="319"/>
        <v>835000</v>
      </c>
      <c r="B381">
        <f t="shared" si="295"/>
        <v>835</v>
      </c>
      <c r="C381">
        <f t="shared" si="264"/>
        <v>1.1292711793510606</v>
      </c>
      <c r="D381">
        <f t="shared" si="265"/>
        <v>0.48316942858779971</v>
      </c>
      <c r="F381">
        <f t="shared" si="266"/>
        <v>2.0106450672909367E-4</v>
      </c>
      <c r="G381">
        <f t="shared" si="267"/>
        <v>8.2303939450191106E-3</v>
      </c>
      <c r="H381">
        <f t="shared" si="268"/>
        <v>-3.1333622560549812</v>
      </c>
      <c r="J381">
        <f t="shared" si="269"/>
        <v>15</v>
      </c>
      <c r="M381">
        <f t="shared" si="270"/>
        <v>9.5541214277463965E-4</v>
      </c>
      <c r="N381">
        <f t="shared" si="271"/>
        <v>-1.5707963250000001</v>
      </c>
      <c r="O381">
        <f t="shared" si="272"/>
        <v>94.441569486212501</v>
      </c>
      <c r="P381">
        <f t="shared" si="273"/>
        <v>1.5602075713068002</v>
      </c>
      <c r="Q381">
        <f t="shared" si="274"/>
        <v>99.37088039960409</v>
      </c>
      <c r="R381">
        <f t="shared" si="275"/>
        <v>1.5607328466776158</v>
      </c>
      <c r="S381">
        <f t="shared" si="276"/>
        <v>0.9790923923626782</v>
      </c>
      <c r="T381">
        <f t="shared" si="277"/>
        <v>-0.20484565533535593</v>
      </c>
      <c r="U381">
        <f t="shared" si="278"/>
        <v>0.19724140984420768</v>
      </c>
      <c r="V381">
        <f t="shared" si="279"/>
        <v>-1.3722530754366613</v>
      </c>
      <c r="X381">
        <f t="shared" si="296"/>
        <v>-44.586804390124762</v>
      </c>
      <c r="Y381">
        <f t="shared" si="280"/>
        <v>-153.38925106851801</v>
      </c>
      <c r="Z381">
        <f t="shared" si="297"/>
        <v>26.610748931481993</v>
      </c>
      <c r="AC381">
        <v>1</v>
      </c>
      <c r="AD381">
        <f t="shared" si="281"/>
        <v>94.43627505900001</v>
      </c>
      <c r="AE381">
        <f t="shared" si="282"/>
        <v>-0.49545611372328385</v>
      </c>
      <c r="AF381">
        <f t="shared" si="283"/>
        <v>9.9682734784499988E-2</v>
      </c>
      <c r="AG381">
        <f t="shared" si="315"/>
        <v>34.916765366690122</v>
      </c>
      <c r="AH381">
        <f t="shared" si="316"/>
        <v>-183.57968320120295</v>
      </c>
      <c r="AJ381">
        <f t="shared" si="284"/>
        <v>10500</v>
      </c>
      <c r="AK381">
        <f t="shared" si="285"/>
        <v>2181.4779538629004</v>
      </c>
      <c r="AL381">
        <v>1</v>
      </c>
      <c r="AM381">
        <f t="shared" si="286"/>
        <v>99.36584861707982</v>
      </c>
      <c r="AN381">
        <f t="shared" si="317"/>
        <v>23.015115094097869</v>
      </c>
      <c r="AO381">
        <f t="shared" si="318"/>
        <v>-105.43848848189711</v>
      </c>
      <c r="AQ381">
        <f t="shared" si="287"/>
        <v>3.585641799404138E-3</v>
      </c>
      <c r="AR381">
        <f t="shared" si="288"/>
        <v>-5.9880218050049105</v>
      </c>
      <c r="AT381">
        <f t="shared" si="313"/>
        <v>-1099.1539469512982</v>
      </c>
      <c r="AU381">
        <f t="shared" si="314"/>
        <v>-209.74060336158831</v>
      </c>
      <c r="AV381">
        <f t="shared" si="302"/>
        <v>-2.9530393553960148</v>
      </c>
      <c r="AW381">
        <f t="shared" si="303"/>
        <v>-582.62993916641767</v>
      </c>
      <c r="AX381">
        <f t="shared" si="304"/>
        <v>-431.16458661319973</v>
      </c>
      <c r="AY381">
        <f t="shared" si="312"/>
        <v>-2.5045018831485004</v>
      </c>
      <c r="BA381">
        <f t="shared" si="289"/>
        <v>1.5438179032264887</v>
      </c>
      <c r="BB381">
        <f t="shared" si="305"/>
        <v>3.7719214603082056</v>
      </c>
      <c r="BC381">
        <f t="shared" si="306"/>
        <v>-0.44853747224751439</v>
      </c>
      <c r="BD381">
        <f t="shared" si="290"/>
        <v>-205.69930414261461</v>
      </c>
      <c r="BF381">
        <f t="shared" si="291"/>
        <v>-45.583580214439223</v>
      </c>
      <c r="BG381">
        <f t="shared" si="292"/>
        <v>-177.54416822583451</v>
      </c>
      <c r="BH381">
        <f t="shared" si="307"/>
        <v>2.4558317741654889</v>
      </c>
      <c r="BI381">
        <f t="shared" si="308"/>
        <v>2.4558317741654889</v>
      </c>
      <c r="BJ381">
        <f t="shared" si="293"/>
        <v>0</v>
      </c>
      <c r="BK381">
        <f t="shared" si="309"/>
        <v>0</v>
      </c>
      <c r="BM381">
        <f t="shared" si="310"/>
        <v>-49.35550167474743</v>
      </c>
      <c r="BN381">
        <f t="shared" si="294"/>
        <v>-151.8448640832199</v>
      </c>
      <c r="BQ381" s="56">
        <f t="shared" si="311"/>
        <v>20.673882260593341</v>
      </c>
      <c r="BR381" s="59"/>
      <c r="BS381" s="59"/>
      <c r="BT381" s="59">
        <v>512861.38400000002</v>
      </c>
      <c r="BU381" s="59">
        <v>12.1639</v>
      </c>
      <c r="BV381" s="59">
        <v>124.027</v>
      </c>
      <c r="BY381" s="59"/>
      <c r="BZ381" s="59"/>
      <c r="CA381" s="59"/>
      <c r="CC381" s="59"/>
    </row>
    <row r="382" spans="1:81" x14ac:dyDescent="0.2">
      <c r="A382">
        <f t="shared" si="319"/>
        <v>840000</v>
      </c>
      <c r="B382">
        <f t="shared" si="295"/>
        <v>840</v>
      </c>
      <c r="C382">
        <f t="shared" si="264"/>
        <v>1.1307341482327948</v>
      </c>
      <c r="D382">
        <f t="shared" si="265"/>
        <v>0.48562974836563538</v>
      </c>
      <c r="F382">
        <f t="shared" si="266"/>
        <v>1.9867760179064018E-4</v>
      </c>
      <c r="G382">
        <f t="shared" si="267"/>
        <v>8.1813857823371042E-3</v>
      </c>
      <c r="H382">
        <f t="shared" si="268"/>
        <v>-3.133411264217663</v>
      </c>
      <c r="J382">
        <f t="shared" si="269"/>
        <v>15</v>
      </c>
      <c r="M382">
        <f t="shared" si="270"/>
        <v>9.497251657343143E-4</v>
      </c>
      <c r="N382">
        <f t="shared" si="271"/>
        <v>-1.5707963250000001</v>
      </c>
      <c r="O382">
        <f t="shared" si="272"/>
        <v>95.007024650515774</v>
      </c>
      <c r="P382">
        <f t="shared" si="273"/>
        <v>1.56027059494413</v>
      </c>
      <c r="Q382">
        <f t="shared" si="274"/>
        <v>99.965855531560138</v>
      </c>
      <c r="R382">
        <f t="shared" si="275"/>
        <v>1.5607927443367908</v>
      </c>
      <c r="S382">
        <f t="shared" si="276"/>
        <v>0.97884916406525802</v>
      </c>
      <c r="T382">
        <f t="shared" si="277"/>
        <v>-0.20603795277505899</v>
      </c>
      <c r="U382">
        <f t="shared" si="278"/>
        <v>0.19611263818658525</v>
      </c>
      <c r="V382">
        <f t="shared" si="279"/>
        <v>-1.3734043331486321</v>
      </c>
      <c r="X382">
        <f t="shared" si="296"/>
        <v>-44.679452337626259</v>
      </c>
      <c r="Y382">
        <f t="shared" si="280"/>
        <v>-153.3783260376114</v>
      </c>
      <c r="Z382">
        <f t="shared" si="297"/>
        <v>26.621673962388599</v>
      </c>
      <c r="AC382">
        <v>1</v>
      </c>
      <c r="AD382">
        <f t="shared" si="281"/>
        <v>95.001761736000006</v>
      </c>
      <c r="AE382">
        <f t="shared" si="282"/>
        <v>-0.50140748516353983</v>
      </c>
      <c r="AF382">
        <f t="shared" si="283"/>
        <v>0.100279637388</v>
      </c>
      <c r="AG382">
        <f t="shared" si="315"/>
        <v>34.51826609835679</v>
      </c>
      <c r="AH382">
        <f t="shared" si="316"/>
        <v>-182.566645367365</v>
      </c>
      <c r="AJ382">
        <f t="shared" si="284"/>
        <v>10500</v>
      </c>
      <c r="AK382">
        <f t="shared" si="285"/>
        <v>2194.5406961016006</v>
      </c>
      <c r="AL382">
        <v>1</v>
      </c>
      <c r="AM382">
        <f t="shared" si="286"/>
        <v>99.960853698619204</v>
      </c>
      <c r="AN382">
        <f t="shared" si="317"/>
        <v>23.002521641615541</v>
      </c>
      <c r="AO382">
        <f t="shared" si="318"/>
        <v>-104.81100441525247</v>
      </c>
      <c r="AQ382">
        <f t="shared" si="287"/>
        <v>3.5430826448828497E-3</v>
      </c>
      <c r="AR382">
        <f t="shared" si="288"/>
        <v>-5.9523788434031877</v>
      </c>
      <c r="AT382">
        <f t="shared" si="313"/>
        <v>-1086.5835363262513</v>
      </c>
      <c r="AU382">
        <f t="shared" si="314"/>
        <v>-206.11264554755604</v>
      </c>
      <c r="AV382">
        <f t="shared" si="302"/>
        <v>-2.9541311537693566</v>
      </c>
      <c r="AW382">
        <f t="shared" si="303"/>
        <v>-575.44301081735682</v>
      </c>
      <c r="AX382">
        <f t="shared" si="304"/>
        <v>-428.57742067360107</v>
      </c>
      <c r="AY382">
        <f t="shared" si="312"/>
        <v>-2.5014418696362042</v>
      </c>
      <c r="BA382">
        <f t="shared" si="289"/>
        <v>1.5413963346420263</v>
      </c>
      <c r="BB382">
        <f t="shared" si="305"/>
        <v>3.7582864384437453</v>
      </c>
      <c r="BC382">
        <f t="shared" si="306"/>
        <v>-0.45268928413315246</v>
      </c>
      <c r="BD382">
        <f t="shared" si="290"/>
        <v>-205.93718544126574</v>
      </c>
      <c r="BF382">
        <f t="shared" si="291"/>
        <v>-45.689700037811072</v>
      </c>
      <c r="BG382">
        <f t="shared" si="292"/>
        <v>-177.64389154568855</v>
      </c>
      <c r="BH382">
        <f t="shared" si="307"/>
        <v>2.3561084543114532</v>
      </c>
      <c r="BI382">
        <f t="shared" si="308"/>
        <v>2.3561084543114532</v>
      </c>
      <c r="BJ382">
        <f t="shared" si="293"/>
        <v>0</v>
      </c>
      <c r="BK382">
        <f t="shared" si="309"/>
        <v>0</v>
      </c>
      <c r="BM382">
        <f t="shared" si="310"/>
        <v>-49.447986476254819</v>
      </c>
      <c r="BN382">
        <f t="shared" si="294"/>
        <v>-151.70670610442284</v>
      </c>
      <c r="BQ382" s="56">
        <f t="shared" si="311"/>
        <v>20.660247238728878</v>
      </c>
      <c r="BR382" s="59"/>
      <c r="BS382" s="59"/>
      <c r="BT382" s="59">
        <v>524807.46</v>
      </c>
      <c r="BU382" s="59">
        <v>11.9579</v>
      </c>
      <c r="BV382" s="59">
        <v>122.795</v>
      </c>
      <c r="BY382" s="59"/>
      <c r="BZ382" s="59"/>
      <c r="CA382" s="59"/>
      <c r="CC382" s="59"/>
    </row>
    <row r="383" spans="1:81" x14ac:dyDescent="0.2">
      <c r="A383">
        <f t="shared" si="319"/>
        <v>845000</v>
      </c>
      <c r="B383">
        <f t="shared" si="295"/>
        <v>845</v>
      </c>
      <c r="C383">
        <f t="shared" si="264"/>
        <v>1.1322039439320595</v>
      </c>
      <c r="D383">
        <f t="shared" si="265"/>
        <v>0.48808369512804073</v>
      </c>
      <c r="F383">
        <f t="shared" si="266"/>
        <v>1.9633295190745251E-4</v>
      </c>
      <c r="G383">
        <f t="shared" si="267"/>
        <v>8.132957909790026E-3</v>
      </c>
      <c r="H383">
        <f t="shared" si="268"/>
        <v>-3.1334596920902102</v>
      </c>
      <c r="J383">
        <f t="shared" si="269"/>
        <v>15</v>
      </c>
      <c r="M383">
        <f t="shared" si="270"/>
        <v>9.4410549019742485E-4</v>
      </c>
      <c r="N383">
        <f t="shared" si="271"/>
        <v>-1.5707963250000001</v>
      </c>
      <c r="O383">
        <f t="shared" si="272"/>
        <v>95.572480187719563</v>
      </c>
      <c r="P383">
        <f t="shared" si="273"/>
        <v>1.5603328728217405</v>
      </c>
      <c r="Q383">
        <f t="shared" si="274"/>
        <v>100.56083101792268</v>
      </c>
      <c r="R383">
        <f t="shared" si="275"/>
        <v>1.5608519332184434</v>
      </c>
      <c r="S383">
        <f t="shared" si="276"/>
        <v>0.97860466646380173</v>
      </c>
      <c r="T383">
        <f t="shared" si="277"/>
        <v>-0.20722965628244225</v>
      </c>
      <c r="U383">
        <f t="shared" si="278"/>
        <v>0.19499645841437416</v>
      </c>
      <c r="V383">
        <f t="shared" si="279"/>
        <v>-1.374542487533208</v>
      </c>
      <c r="X383">
        <f t="shared" si="296"/>
        <v>-44.771492839182862</v>
      </c>
      <c r="Y383">
        <f t="shared" si="280"/>
        <v>-153.36703144908822</v>
      </c>
      <c r="Z383">
        <f t="shared" si="297"/>
        <v>26.632968550911784</v>
      </c>
      <c r="AC383">
        <v>1</v>
      </c>
      <c r="AD383">
        <f t="shared" si="281"/>
        <v>95.567248413000016</v>
      </c>
      <c r="AE383">
        <f t="shared" si="282"/>
        <v>-0.50739438717955865</v>
      </c>
      <c r="AF383">
        <f t="shared" si="283"/>
        <v>0.10087653999150001</v>
      </c>
      <c r="AG383">
        <f t="shared" si="315"/>
        <v>34.126461189208264</v>
      </c>
      <c r="AH383">
        <f t="shared" si="316"/>
        <v>-181.56426522210828</v>
      </c>
      <c r="AJ383">
        <f t="shared" si="284"/>
        <v>10500</v>
      </c>
      <c r="AK383">
        <f t="shared" si="285"/>
        <v>2207.6034383403003</v>
      </c>
      <c r="AL383">
        <v>1</v>
      </c>
      <c r="AM383">
        <f t="shared" si="286"/>
        <v>100.55585878015862</v>
      </c>
      <c r="AN383">
        <f t="shared" si="317"/>
        <v>22.990151050012393</v>
      </c>
      <c r="AO383">
        <f t="shared" si="318"/>
        <v>-104.19094397926102</v>
      </c>
      <c r="AQ383">
        <f t="shared" si="287"/>
        <v>3.5012767405634463E-3</v>
      </c>
      <c r="AR383">
        <f t="shared" si="288"/>
        <v>-5.9171576915522248</v>
      </c>
      <c r="AT383">
        <f t="shared" si="313"/>
        <v>-1074.2249022852266</v>
      </c>
      <c r="AU383">
        <f t="shared" si="314"/>
        <v>-202.56735904992183</v>
      </c>
      <c r="AV383">
        <f t="shared" si="302"/>
        <v>-2.955210552393988</v>
      </c>
      <c r="AW383">
        <f t="shared" si="303"/>
        <v>-568.38352828104235</v>
      </c>
      <c r="AX383">
        <f t="shared" si="304"/>
        <v>-426.0212886899875</v>
      </c>
      <c r="AY383">
        <f t="shared" si="312"/>
        <v>-2.4983915309034552</v>
      </c>
      <c r="BA383">
        <f t="shared" si="289"/>
        <v>1.5389652243605916</v>
      </c>
      <c r="BB383">
        <f t="shared" si="305"/>
        <v>3.7445761258181842</v>
      </c>
      <c r="BC383">
        <f t="shared" si="306"/>
        <v>-0.45681902149053277</v>
      </c>
      <c r="BD383">
        <f t="shared" si="290"/>
        <v>-206.17380196261152</v>
      </c>
      <c r="BF383">
        <f t="shared" si="291"/>
        <v>-45.795241498666137</v>
      </c>
      <c r="BG383">
        <f t="shared" si="292"/>
        <v>-177.74268198694898</v>
      </c>
      <c r="BH383">
        <f t="shared" si="307"/>
        <v>2.2573180130510195</v>
      </c>
      <c r="BI383">
        <f t="shared" si="308"/>
        <v>2.2573180130510195</v>
      </c>
      <c r="BJ383">
        <f t="shared" si="293"/>
        <v>0</v>
      </c>
      <c r="BK383">
        <f t="shared" si="309"/>
        <v>0</v>
      </c>
      <c r="BM383">
        <f t="shared" si="310"/>
        <v>-49.539817624484321</v>
      </c>
      <c r="BN383">
        <f t="shared" si="294"/>
        <v>-151.56888002433749</v>
      </c>
      <c r="BQ383" s="56">
        <f t="shared" si="311"/>
        <v>20.64653692610332</v>
      </c>
      <c r="BR383" s="59"/>
      <c r="BS383" s="59"/>
      <c r="BT383" s="59">
        <v>537031.79599999997</v>
      </c>
      <c r="BU383" s="59">
        <v>11.690200000000001</v>
      </c>
      <c r="BV383" s="59">
        <v>121.76300000000001</v>
      </c>
      <c r="BY383" s="59"/>
      <c r="BZ383" s="59"/>
      <c r="CA383" s="59"/>
      <c r="CC383" s="59"/>
    </row>
    <row r="384" spans="1:81" x14ac:dyDescent="0.2">
      <c r="A384">
        <f t="shared" si="319"/>
        <v>850000</v>
      </c>
      <c r="B384">
        <f t="shared" si="295"/>
        <v>850</v>
      </c>
      <c r="C384">
        <f t="shared" si="264"/>
        <v>1.1336805398963297</v>
      </c>
      <c r="D384">
        <f t="shared" si="265"/>
        <v>0.49053126416542941</v>
      </c>
      <c r="F384">
        <f t="shared" si="266"/>
        <v>1.9402956549839138E-4</v>
      </c>
      <c r="G384">
        <f t="shared" si="267"/>
        <v>8.085100079688207E-3</v>
      </c>
      <c r="H384">
        <f t="shared" si="268"/>
        <v>-3.1335075499203122</v>
      </c>
      <c r="J384">
        <f t="shared" si="269"/>
        <v>15</v>
      </c>
      <c r="M384">
        <f t="shared" si="270"/>
        <v>9.3855192849038129E-4</v>
      </c>
      <c r="N384">
        <f t="shared" si="271"/>
        <v>-1.5707963250000001</v>
      </c>
      <c r="O384">
        <f t="shared" si="272"/>
        <v>96.137936091244015</v>
      </c>
      <c r="P384">
        <f t="shared" si="273"/>
        <v>1.5603944180981817</v>
      </c>
      <c r="Q384">
        <f t="shared" si="274"/>
        <v>101.15580685243809</v>
      </c>
      <c r="R384">
        <f t="shared" si="275"/>
        <v>1.560910425828768</v>
      </c>
      <c r="S384">
        <f t="shared" si="276"/>
        <v>0.97835890259177605</v>
      </c>
      <c r="T384">
        <f t="shared" si="277"/>
        <v>-0.20842076291891296</v>
      </c>
      <c r="U384">
        <f t="shared" si="278"/>
        <v>0.19389266534608815</v>
      </c>
      <c r="V384">
        <f t="shared" si="279"/>
        <v>-1.3756677581336587</v>
      </c>
      <c r="X384">
        <f t="shared" si="296"/>
        <v>-44.86293273448328</v>
      </c>
      <c r="Y384">
        <f t="shared" si="280"/>
        <v>-153.35537909998956</v>
      </c>
      <c r="Z384">
        <f t="shared" si="297"/>
        <v>26.644620900010437</v>
      </c>
      <c r="AC384">
        <v>1</v>
      </c>
      <c r="AD384">
        <f t="shared" si="281"/>
        <v>96.132735090000011</v>
      </c>
      <c r="AE384">
        <f t="shared" si="282"/>
        <v>-0.51341681977134002</v>
      </c>
      <c r="AF384">
        <f t="shared" si="283"/>
        <v>0.10147344259499999</v>
      </c>
      <c r="AG384">
        <f t="shared" si="315"/>
        <v>33.741203542114334</v>
      </c>
      <c r="AH384">
        <f t="shared" si="316"/>
        <v>-180.57238376135155</v>
      </c>
      <c r="AJ384">
        <f t="shared" si="284"/>
        <v>10500</v>
      </c>
      <c r="AK384">
        <f t="shared" si="285"/>
        <v>2220.6661805790004</v>
      </c>
      <c r="AL384">
        <v>1</v>
      </c>
      <c r="AM384">
        <f t="shared" si="286"/>
        <v>101.150863861698</v>
      </c>
      <c r="AN384">
        <f t="shared" si="317"/>
        <v>22.977998091813227</v>
      </c>
      <c r="AO384">
        <f t="shared" si="318"/>
        <v>-103.57817622035591</v>
      </c>
      <c r="AQ384">
        <f t="shared" si="287"/>
        <v>3.4602064151534897E-3</v>
      </c>
      <c r="AR384">
        <f t="shared" si="288"/>
        <v>-5.8823509057609327</v>
      </c>
      <c r="AT384">
        <f t="shared" si="313"/>
        <v>-1062.0733736450456</v>
      </c>
      <c r="AU384">
        <f t="shared" si="314"/>
        <v>-199.10241693811082</v>
      </c>
      <c r="AV384">
        <f t="shared" si="302"/>
        <v>-2.9562777583989996</v>
      </c>
      <c r="AW384">
        <f t="shared" si="303"/>
        <v>-561.44849489412229</v>
      </c>
      <c r="AX384">
        <f t="shared" si="304"/>
        <v>-423.49563184742283</v>
      </c>
      <c r="AY384">
        <f t="shared" si="312"/>
        <v>-2.495350859703227</v>
      </c>
      <c r="BA384">
        <f t="shared" si="289"/>
        <v>1.536524886465735</v>
      </c>
      <c r="BB384">
        <f t="shared" si="305"/>
        <v>3.730791974792496</v>
      </c>
      <c r="BC384">
        <f t="shared" si="306"/>
        <v>-0.46092689869577264</v>
      </c>
      <c r="BD384">
        <f t="shared" si="290"/>
        <v>-206.40916598949869</v>
      </c>
      <c r="BF384">
        <f t="shared" si="291"/>
        <v>-45.900210784253687</v>
      </c>
      <c r="BG384">
        <f t="shared" si="292"/>
        <v>-177.8405526894513</v>
      </c>
      <c r="BH384">
        <f t="shared" si="307"/>
        <v>2.1594473105486998</v>
      </c>
      <c r="BI384">
        <f t="shared" si="308"/>
        <v>2.1594473105486998</v>
      </c>
      <c r="BJ384">
        <f t="shared" si="293"/>
        <v>0</v>
      </c>
      <c r="BK384">
        <f t="shared" si="309"/>
        <v>0</v>
      </c>
      <c r="BM384">
        <f t="shared" si="310"/>
        <v>-49.631002759046183</v>
      </c>
      <c r="BN384">
        <f t="shared" si="294"/>
        <v>-151.43138669995261</v>
      </c>
      <c r="BQ384" s="56">
        <f t="shared" si="311"/>
        <v>20.632752775077634</v>
      </c>
      <c r="BR384" s="59"/>
      <c r="BS384" s="59"/>
      <c r="BT384" s="59">
        <v>549540.87399999995</v>
      </c>
      <c r="BU384" s="59">
        <v>11.575799999999999</v>
      </c>
      <c r="BV384" s="59">
        <v>121.762</v>
      </c>
      <c r="BY384" s="59"/>
      <c r="BZ384" s="59"/>
      <c r="CA384" s="59"/>
      <c r="CC384" s="59"/>
    </row>
    <row r="385" spans="1:81" x14ac:dyDescent="0.2">
      <c r="A385">
        <f t="shared" si="319"/>
        <v>855000</v>
      </c>
      <c r="B385">
        <f t="shared" si="295"/>
        <v>855</v>
      </c>
      <c r="C385">
        <f t="shared" si="264"/>
        <v>1.1351639095887049</v>
      </c>
      <c r="D385">
        <f t="shared" si="265"/>
        <v>0.49297245109831139</v>
      </c>
      <c r="F385">
        <f t="shared" si="266"/>
        <v>1.9176647990041322E-4</v>
      </c>
      <c r="G385">
        <f t="shared" si="267"/>
        <v>8.0378022842649503E-3</v>
      </c>
      <c r="H385">
        <f t="shared" si="268"/>
        <v>-3.1335548477157351</v>
      </c>
      <c r="J385">
        <f t="shared" si="269"/>
        <v>15</v>
      </c>
      <c r="M385">
        <f t="shared" si="270"/>
        <v>9.3306332072143165E-4</v>
      </c>
      <c r="N385">
        <f t="shared" si="271"/>
        <v>-1.5707963250000001</v>
      </c>
      <c r="O385">
        <f t="shared" si="272"/>
        <v>96.70339235466308</v>
      </c>
      <c r="P385">
        <f t="shared" si="273"/>
        <v>1.5604552436242571</v>
      </c>
      <c r="Q385">
        <f t="shared" si="274"/>
        <v>101.75078302899904</v>
      </c>
      <c r="R385">
        <f t="shared" si="275"/>
        <v>1.5609682343814637</v>
      </c>
      <c r="S385">
        <f t="shared" si="276"/>
        <v>0.97811187549421019</v>
      </c>
      <c r="T385">
        <f t="shared" si="277"/>
        <v>-0.20961126975559549</v>
      </c>
      <c r="U385">
        <f t="shared" si="278"/>
        <v>0.19280105813412471</v>
      </c>
      <c r="V385">
        <f t="shared" si="279"/>
        <v>-1.3767803596813644</v>
      </c>
      <c r="X385">
        <f t="shared" si="296"/>
        <v>-44.953778755922499</v>
      </c>
      <c r="Y385">
        <f t="shared" si="280"/>
        <v>-153.34338051394383</v>
      </c>
      <c r="Z385">
        <f t="shared" si="297"/>
        <v>26.656619486056172</v>
      </c>
      <c r="AC385">
        <v>1</v>
      </c>
      <c r="AD385">
        <f t="shared" si="281"/>
        <v>96.698221767000007</v>
      </c>
      <c r="AE385">
        <f t="shared" si="282"/>
        <v>-0.51947478293888416</v>
      </c>
      <c r="AF385">
        <f t="shared" si="283"/>
        <v>0.1020703451985</v>
      </c>
      <c r="AG385">
        <f t="shared" si="315"/>
        <v>33.362350021370489</v>
      </c>
      <c r="AH385">
        <f t="shared" si="316"/>
        <v>-179.59084492203615</v>
      </c>
      <c r="AJ385">
        <f t="shared" si="284"/>
        <v>10500</v>
      </c>
      <c r="AK385">
        <f t="shared" si="285"/>
        <v>2233.7289228177001</v>
      </c>
      <c r="AL385">
        <v>1</v>
      </c>
      <c r="AM385">
        <f t="shared" si="286"/>
        <v>101.74586894323741</v>
      </c>
      <c r="AN385">
        <f t="shared" si="317"/>
        <v>22.966057691915012</v>
      </c>
      <c r="AO385">
        <f t="shared" si="318"/>
        <v>-102.97257324671406</v>
      </c>
      <c r="AQ385">
        <f t="shared" si="287"/>
        <v>3.4198545125493271E-3</v>
      </c>
      <c r="AR385">
        <f t="shared" si="288"/>
        <v>-5.8479512164593492</v>
      </c>
      <c r="AT385">
        <f t="shared" si="313"/>
        <v>-1050.1244056435139</v>
      </c>
      <c r="AU385">
        <f t="shared" si="314"/>
        <v>-195.7155699528353</v>
      </c>
      <c r="AV385">
        <f t="shared" si="302"/>
        <v>-2.9573329743919268</v>
      </c>
      <c r="AW385">
        <f t="shared" si="303"/>
        <v>-554.63500157967474</v>
      </c>
      <c r="AX385">
        <f t="shared" si="304"/>
        <v>-420.99990477308546</v>
      </c>
      <c r="AY385">
        <f t="shared" si="312"/>
        <v>-2.4923198481245228</v>
      </c>
      <c r="BA385">
        <f t="shared" si="289"/>
        <v>1.5340756286134445</v>
      </c>
      <c r="BB385">
        <f t="shared" si="305"/>
        <v>3.7169354097281122</v>
      </c>
      <c r="BC385">
        <f t="shared" si="306"/>
        <v>-0.46501312626740399</v>
      </c>
      <c r="BD385">
        <f t="shared" si="290"/>
        <v>-206.64328958375069</v>
      </c>
      <c r="BF385">
        <f t="shared" si="291"/>
        <v>-46.004613980667834</v>
      </c>
      <c r="BG385">
        <f t="shared" si="292"/>
        <v>-177.93751653934794</v>
      </c>
      <c r="BH385">
        <f t="shared" si="307"/>
        <v>2.0624834606520608</v>
      </c>
      <c r="BI385">
        <f t="shared" si="308"/>
        <v>2.0624834606520608</v>
      </c>
      <c r="BJ385">
        <f t="shared" si="293"/>
        <v>0</v>
      </c>
      <c r="BK385">
        <f t="shared" si="309"/>
        <v>0</v>
      </c>
      <c r="BM385">
        <f t="shared" si="310"/>
        <v>-49.721549390395943</v>
      </c>
      <c r="BN385">
        <f t="shared" si="294"/>
        <v>-151.29422695559725</v>
      </c>
      <c r="BQ385" s="56">
        <f t="shared" si="311"/>
        <v>20.618896210013247</v>
      </c>
      <c r="BR385" s="59"/>
      <c r="BS385" s="59"/>
      <c r="BT385" s="59">
        <v>562341.32499999995</v>
      </c>
      <c r="BU385" s="59">
        <v>11.314</v>
      </c>
      <c r="BV385" s="59">
        <v>119.89400000000001</v>
      </c>
      <c r="BY385" s="59"/>
      <c r="BZ385" s="59"/>
      <c r="CA385" s="59"/>
      <c r="CC385" s="59"/>
    </row>
    <row r="386" spans="1:81" x14ac:dyDescent="0.2">
      <c r="A386">
        <f t="shared" si="319"/>
        <v>860000</v>
      </c>
      <c r="B386">
        <f t="shared" si="295"/>
        <v>860</v>
      </c>
      <c r="C386">
        <f t="shared" si="264"/>
        <v>1.1366540264893934</v>
      </c>
      <c r="D386">
        <f t="shared" si="265"/>
        <v>0.49540725187427154</v>
      </c>
      <c r="F386">
        <f t="shared" si="266"/>
        <v>1.8954276036236068E-4</v>
      </c>
      <c r="G386">
        <f t="shared" si="267"/>
        <v>7.9910547486947373E-3</v>
      </c>
      <c r="H386">
        <f t="shared" si="268"/>
        <v>-3.1336015952513057</v>
      </c>
      <c r="J386">
        <f t="shared" si="269"/>
        <v>15</v>
      </c>
      <c r="M386">
        <f t="shared" si="270"/>
        <v>9.2763853397305116E-4</v>
      </c>
      <c r="N386">
        <f t="shared" si="271"/>
        <v>-1.5707963250000001</v>
      </c>
      <c r="O386">
        <f t="shared" si="272"/>
        <v>97.268848971700265</v>
      </c>
      <c r="P386">
        <f t="shared" si="273"/>
        <v>1.5605153619519672</v>
      </c>
      <c r="Q386">
        <f t="shared" si="274"/>
        <v>102.34575954164019</v>
      </c>
      <c r="R386">
        <f t="shared" si="275"/>
        <v>1.5610253708062363</v>
      </c>
      <c r="S386">
        <f t="shared" si="276"/>
        <v>0.97786358822759711</v>
      </c>
      <c r="T386">
        <f t="shared" si="277"/>
        <v>-0.21080117387336406</v>
      </c>
      <c r="U386">
        <f t="shared" si="278"/>
        <v>0.19172144015382414</v>
      </c>
      <c r="V386">
        <f t="shared" si="279"/>
        <v>-1.3778805022250891</v>
      </c>
      <c r="X386">
        <f t="shared" si="296"/>
        <v>-45.044037530838146</v>
      </c>
      <c r="Y386">
        <f t="shared" si="280"/>
        <v>-153.33104694814944</v>
      </c>
      <c r="Z386">
        <f t="shared" si="297"/>
        <v>26.668953051850565</v>
      </c>
      <c r="AC386">
        <v>1</v>
      </c>
      <c r="AD386">
        <f t="shared" si="281"/>
        <v>97.263708444000002</v>
      </c>
      <c r="AE386">
        <f t="shared" si="282"/>
        <v>-0.52556827668219097</v>
      </c>
      <c r="AF386">
        <f t="shared" si="283"/>
        <v>0.10266724780199998</v>
      </c>
      <c r="AG386">
        <f t="shared" si="315"/>
        <v>32.989761327281606</v>
      </c>
      <c r="AH386">
        <f t="shared" si="316"/>
        <v>-178.619495521131</v>
      </c>
      <c r="AJ386">
        <f t="shared" si="284"/>
        <v>10500</v>
      </c>
      <c r="AK386">
        <f t="shared" si="285"/>
        <v>2246.7916650564002</v>
      </c>
      <c r="AL386">
        <v>1</v>
      </c>
      <c r="AM386">
        <f t="shared" si="286"/>
        <v>102.34087402477681</v>
      </c>
      <c r="AN386">
        <f t="shared" si="317"/>
        <v>22.954324922288322</v>
      </c>
      <c r="AO386">
        <f t="shared" si="318"/>
        <v>-102.37401013930378</v>
      </c>
      <c r="AQ386">
        <f t="shared" si="287"/>
        <v>3.3802043739168557E-3</v>
      </c>
      <c r="AR386">
        <f t="shared" si="288"/>
        <v>-5.8139515231369918</v>
      </c>
      <c r="AT386">
        <f t="shared" si="313"/>
        <v>-1038.3735759115077</v>
      </c>
      <c r="AU386">
        <f t="shared" si="314"/>
        <v>-192.40464351670207</v>
      </c>
      <c r="AV386">
        <f t="shared" si="302"/>
        <v>-2.9583763985795857</v>
      </c>
      <c r="AW386">
        <f t="shared" si="303"/>
        <v>-547.94022379244564</v>
      </c>
      <c r="AX386">
        <f t="shared" si="304"/>
        <v>-418.53357513093249</v>
      </c>
      <c r="AY386">
        <f t="shared" si="312"/>
        <v>-2.4892984876075075</v>
      </c>
      <c r="BA386">
        <f t="shared" si="289"/>
        <v>1.5316177521909558</v>
      </c>
      <c r="BB386">
        <f t="shared" si="305"/>
        <v>3.7030078277607688</v>
      </c>
      <c r="BC386">
        <f t="shared" si="306"/>
        <v>-0.46907791097207818</v>
      </c>
      <c r="BD386">
        <f t="shared" si="290"/>
        <v>-206.87618459222398</v>
      </c>
      <c r="BF386">
        <f t="shared" si="291"/>
        <v>-46.108457075039794</v>
      </c>
      <c r="BG386">
        <f t="shared" si="292"/>
        <v>-178.03358617573801</v>
      </c>
      <c r="BH386">
        <f t="shared" si="307"/>
        <v>1.9664138242619913</v>
      </c>
      <c r="BI386">
        <f t="shared" si="308"/>
        <v>1.9664138242619913</v>
      </c>
      <c r="BJ386">
        <f t="shared" si="293"/>
        <v>0</v>
      </c>
      <c r="BK386">
        <f t="shared" si="309"/>
        <v>0</v>
      </c>
      <c r="BM386">
        <f t="shared" si="310"/>
        <v>-49.811464902800566</v>
      </c>
      <c r="BN386">
        <f t="shared" si="294"/>
        <v>-151.15740158351406</v>
      </c>
      <c r="BQ386" s="56">
        <f t="shared" si="311"/>
        <v>20.604968628045906</v>
      </c>
      <c r="BR386" s="59"/>
      <c r="BS386" s="59"/>
      <c r="BT386" s="59">
        <v>575439.93700000003</v>
      </c>
      <c r="BU386" s="59">
        <v>11.0791</v>
      </c>
      <c r="BV386" s="59">
        <v>119.196</v>
      </c>
      <c r="BY386" s="59"/>
      <c r="BZ386" s="59"/>
      <c r="CA386" s="59"/>
      <c r="CC386" s="59"/>
    </row>
    <row r="387" spans="1:81" x14ac:dyDescent="0.2">
      <c r="A387">
        <f t="shared" si="319"/>
        <v>865000</v>
      </c>
      <c r="B387">
        <f t="shared" si="295"/>
        <v>865</v>
      </c>
      <c r="C387">
        <f t="shared" si="264"/>
        <v>1.1381508640971745</v>
      </c>
      <c r="D387">
        <f t="shared" si="265"/>
        <v>0.49783566276493685</v>
      </c>
      <c r="F387">
        <f t="shared" si="266"/>
        <v>1.8735749907936527E-4</v>
      </c>
      <c r="G387">
        <f t="shared" si="267"/>
        <v>7.9448479243538466E-3</v>
      </c>
      <c r="H387">
        <f t="shared" si="268"/>
        <v>-3.1336478020756462</v>
      </c>
      <c r="J387">
        <f t="shared" si="269"/>
        <v>15</v>
      </c>
      <c r="M387">
        <f t="shared" si="270"/>
        <v>9.2227646152233985E-4</v>
      </c>
      <c r="N387">
        <f t="shared" si="271"/>
        <v>-1.5707963250000001</v>
      </c>
      <c r="O387">
        <f t="shared" si="272"/>
        <v>97.834305936224069</v>
      </c>
      <c r="P387">
        <f t="shared" si="273"/>
        <v>1.5605747853431442</v>
      </c>
      <c r="Q387">
        <f t="shared" si="274"/>
        <v>102.94073638453411</v>
      </c>
      <c r="R387">
        <f t="shared" si="275"/>
        <v>1.5610818467570036</v>
      </c>
      <c r="S387">
        <f t="shared" si="276"/>
        <v>0.97761404385979689</v>
      </c>
      <c r="T387">
        <f t="shared" si="277"/>
        <v>-0.2119904723628748</v>
      </c>
      <c r="U387">
        <f t="shared" si="278"/>
        <v>0.19065361889581889</v>
      </c>
      <c r="V387">
        <f t="shared" si="279"/>
        <v>-1.378968391256171</v>
      </c>
      <c r="X387">
        <f t="shared" si="296"/>
        <v>-45.133715583688819</v>
      </c>
      <c r="Y387">
        <f t="shared" si="280"/>
        <v>-153.31838940014367</v>
      </c>
      <c r="Z387">
        <f t="shared" si="297"/>
        <v>26.681610599856327</v>
      </c>
      <c r="AC387">
        <v>1</v>
      </c>
      <c r="AD387">
        <f t="shared" si="281"/>
        <v>97.829195121000012</v>
      </c>
      <c r="AE387">
        <f t="shared" si="282"/>
        <v>-0.53169730100126067</v>
      </c>
      <c r="AF387">
        <f t="shared" si="283"/>
        <v>0.10326415040549999</v>
      </c>
      <c r="AG387">
        <f t="shared" si="315"/>
        <v>32.623301875278038</v>
      </c>
      <c r="AH387">
        <f t="shared" si="316"/>
        <v>-177.65818519587202</v>
      </c>
      <c r="AJ387">
        <f t="shared" si="284"/>
        <v>10500</v>
      </c>
      <c r="AK387">
        <f t="shared" si="285"/>
        <v>2259.8544072951004</v>
      </c>
      <c r="AL387">
        <v>1</v>
      </c>
      <c r="AM387">
        <f t="shared" si="286"/>
        <v>102.93587910631622</v>
      </c>
      <c r="AN387">
        <f t="shared" si="317"/>
        <v>22.942794996892427</v>
      </c>
      <c r="AO387">
        <f t="shared" si="318"/>
        <v>-101.78236486601519</v>
      </c>
      <c r="AQ387">
        <f t="shared" si="287"/>
        <v>3.3412398204952318E-3</v>
      </c>
      <c r="AR387">
        <f t="shared" si="288"/>
        <v>-5.7803448894567513</v>
      </c>
      <c r="AT387">
        <f t="shared" si="313"/>
        <v>-1026.8165805918181</v>
      </c>
      <c r="AU387">
        <f t="shared" si="314"/>
        <v>-189.16753487478161</v>
      </c>
      <c r="AV387">
        <f t="shared" si="302"/>
        <v>-2.9594082248851175</v>
      </c>
      <c r="AW387">
        <f t="shared" si="303"/>
        <v>-541.36141858768281</v>
      </c>
      <c r="AX387">
        <f t="shared" si="304"/>
        <v>-416.09612323107905</v>
      </c>
      <c r="AY387">
        <f t="shared" si="312"/>
        <v>-2.4862867689583141</v>
      </c>
      <c r="BA387">
        <f t="shared" si="289"/>
        <v>1.5291515524701522</v>
      </c>
      <c r="BB387">
        <f t="shared" si="305"/>
        <v>3.6890105995453526</v>
      </c>
      <c r="BC387">
        <f t="shared" si="306"/>
        <v>-0.47312145592680332</v>
      </c>
      <c r="BD387">
        <f t="shared" si="290"/>
        <v>-207.10786265266586</v>
      </c>
      <c r="BF387">
        <f t="shared" si="291"/>
        <v>-46.211745957672967</v>
      </c>
      <c r="BG387">
        <f t="shared" si="292"/>
        <v>-178.12877399708464</v>
      </c>
      <c r="BH387">
        <f t="shared" si="307"/>
        <v>1.871226002915364</v>
      </c>
      <c r="BI387">
        <f t="shared" si="308"/>
        <v>1.871226002915364</v>
      </c>
      <c r="BJ387">
        <f t="shared" si="293"/>
        <v>0</v>
      </c>
      <c r="BK387">
        <f t="shared" si="309"/>
        <v>0</v>
      </c>
      <c r="BM387">
        <f t="shared" si="310"/>
        <v>-49.900756557218322</v>
      </c>
      <c r="BN387">
        <f t="shared" si="294"/>
        <v>-151.02091134441878</v>
      </c>
      <c r="BQ387" s="56">
        <f t="shared" si="311"/>
        <v>20.59097139983049</v>
      </c>
      <c r="BR387" s="59"/>
      <c r="BS387" s="59"/>
      <c r="BT387" s="59">
        <v>588843.65500000003</v>
      </c>
      <c r="BU387" s="59">
        <v>10.8666</v>
      </c>
      <c r="BV387" s="59">
        <v>116.889</v>
      </c>
      <c r="BY387" s="59"/>
      <c r="BZ387" s="59"/>
      <c r="CA387" s="59"/>
      <c r="CC387" s="59"/>
    </row>
    <row r="388" spans="1:81" x14ac:dyDescent="0.2">
      <c r="A388">
        <f t="shared" si="319"/>
        <v>870000</v>
      </c>
      <c r="B388">
        <f t="shared" si="295"/>
        <v>870</v>
      </c>
      <c r="C388">
        <f t="shared" si="264"/>
        <v>1.1396543959308436</v>
      </c>
      <c r="D388">
        <f t="shared" si="265"/>
        <v>0.50025768036293405</v>
      </c>
      <c r="F388">
        <f t="shared" si="266"/>
        <v>1.8520981426600093E-4</v>
      </c>
      <c r="G388">
        <f t="shared" si="267"/>
        <v>7.8991724823136746E-3</v>
      </c>
      <c r="H388">
        <f t="shared" si="268"/>
        <v>-3.1336934775176863</v>
      </c>
      <c r="J388">
        <f t="shared" si="269"/>
        <v>15</v>
      </c>
      <c r="M388">
        <f t="shared" si="270"/>
        <v>9.1697602208830353E-4</v>
      </c>
      <c r="N388">
        <f t="shared" si="271"/>
        <v>-1.5707963250000001</v>
      </c>
      <c r="O388">
        <f t="shared" si="272"/>
        <v>98.399763242243978</v>
      </c>
      <c r="P388">
        <f t="shared" si="273"/>
        <v>1.5606335257777881</v>
      </c>
      <c r="Q388">
        <f t="shared" si="274"/>
        <v>103.53571355198731</v>
      </c>
      <c r="R388">
        <f t="shared" si="275"/>
        <v>1.5611376736198197</v>
      </c>
      <c r="S388">
        <f t="shared" si="276"/>
        <v>0.9773632454699358</v>
      </c>
      <c r="T388">
        <f t="shared" si="277"/>
        <v>-0.21317916232459758</v>
      </c>
      <c r="U388">
        <f t="shared" si="278"/>
        <v>0.18959740586156293</v>
      </c>
      <c r="V388">
        <f t="shared" si="279"/>
        <v>-1.3800442278297771</v>
      </c>
      <c r="X388">
        <f t="shared" si="296"/>
        <v>-45.222819338175853</v>
      </c>
      <c r="Y388">
        <f t="shared" si="280"/>
        <v>-153.30541861436856</v>
      </c>
      <c r="Z388">
        <f t="shared" si="297"/>
        <v>26.694581385631437</v>
      </c>
      <c r="AC388">
        <v>1</v>
      </c>
      <c r="AD388">
        <f t="shared" si="281"/>
        <v>98.394681798000008</v>
      </c>
      <c r="AE388">
        <f t="shared" si="282"/>
        <v>-0.53786185589609303</v>
      </c>
      <c r="AF388">
        <f t="shared" si="283"/>
        <v>0.103861053009</v>
      </c>
      <c r="AG388">
        <f t="shared" si="315"/>
        <v>32.262839679381386</v>
      </c>
      <c r="AH388">
        <f t="shared" si="316"/>
        <v>-176.706766345223</v>
      </c>
      <c r="AJ388">
        <f t="shared" si="284"/>
        <v>10500</v>
      </c>
      <c r="AK388">
        <f t="shared" si="285"/>
        <v>2272.9171495338005</v>
      </c>
      <c r="AL388">
        <v>1</v>
      </c>
      <c r="AM388">
        <f t="shared" si="286"/>
        <v>103.53088418785561</v>
      </c>
      <c r="AN388">
        <f t="shared" si="317"/>
        <v>22.931463266794349</v>
      </c>
      <c r="AO388">
        <f t="shared" si="318"/>
        <v>-101.1975181987501</v>
      </c>
      <c r="AQ388">
        <f t="shared" si="287"/>
        <v>3.3029451370903892E-3</v>
      </c>
      <c r="AR388">
        <f t="shared" si="288"/>
        <v>-5.7471245385372773</v>
      </c>
      <c r="AT388">
        <f t="shared" si="313"/>
        <v>-1015.4492305987765</v>
      </c>
      <c r="AU388">
        <f t="shared" si="314"/>
        <v>-186.00221035885784</v>
      </c>
      <c r="AV388">
        <f t="shared" si="302"/>
        <v>-2.9604286430613787</v>
      </c>
      <c r="AW388">
        <f t="shared" si="303"/>
        <v>-534.89592180788668</v>
      </c>
      <c r="AX388">
        <f t="shared" si="304"/>
        <v>-413.68704165327182</v>
      </c>
      <c r="AY388">
        <f t="shared" si="312"/>
        <v>-2.4832846823635384</v>
      </c>
      <c r="BA388">
        <f t="shared" si="289"/>
        <v>1.5266773187557883</v>
      </c>
      <c r="BB388">
        <f t="shared" si="305"/>
        <v>3.6749450699730506</v>
      </c>
      <c r="BC388">
        <f t="shared" si="306"/>
        <v>-0.47714396069784026</v>
      </c>
      <c r="BD388">
        <f t="shared" si="290"/>
        <v>-207.33833519938088</v>
      </c>
      <c r="BF388">
        <f t="shared" si="291"/>
        <v>-46.314486424122443</v>
      </c>
      <c r="BG388">
        <f t="shared" si="292"/>
        <v>-178.22309216742872</v>
      </c>
      <c r="BH388">
        <f t="shared" si="307"/>
        <v>1.7769078325712826</v>
      </c>
      <c r="BI388">
        <f t="shared" si="308"/>
        <v>1.7769078325712826</v>
      </c>
      <c r="BJ388">
        <f t="shared" si="293"/>
        <v>0</v>
      </c>
      <c r="BK388">
        <f t="shared" si="309"/>
        <v>0</v>
      </c>
      <c r="BM388">
        <f t="shared" si="310"/>
        <v>-49.989431494095491</v>
      </c>
      <c r="BN388">
        <f t="shared" si="294"/>
        <v>-150.88475696804784</v>
      </c>
      <c r="BQ388" s="56">
        <f t="shared" si="311"/>
        <v>20.576905870258187</v>
      </c>
      <c r="BR388" s="59"/>
      <c r="BS388" s="59"/>
      <c r="BT388" s="59">
        <v>602559.58600000001</v>
      </c>
      <c r="BU388" s="59">
        <v>10.6013</v>
      </c>
      <c r="BV388" s="59">
        <v>117.324</v>
      </c>
      <c r="BY388" s="59"/>
      <c r="BZ388" s="59"/>
      <c r="CA388" s="59"/>
      <c r="CC388" s="59"/>
    </row>
    <row r="389" spans="1:81" x14ac:dyDescent="0.2">
      <c r="A389">
        <f t="shared" si="319"/>
        <v>875000</v>
      </c>
      <c r="B389">
        <f t="shared" si="295"/>
        <v>875</v>
      </c>
      <c r="C389">
        <f t="shared" si="264"/>
        <v>1.141164595530638</v>
      </c>
      <c r="D389">
        <f t="shared" si="265"/>
        <v>0.50267330157883827</v>
      </c>
      <c r="F389">
        <f t="shared" si="266"/>
        <v>1.8309884926642018E-4</v>
      </c>
      <c r="G389">
        <f t="shared" si="267"/>
        <v>7.8540193070573798E-3</v>
      </c>
      <c r="H389">
        <f t="shared" si="268"/>
        <v>-3.1337386306929429</v>
      </c>
      <c r="J389">
        <f t="shared" si="269"/>
        <v>15</v>
      </c>
      <c r="M389">
        <f t="shared" si="270"/>
        <v>9.117361591049418E-4</v>
      </c>
      <c r="N389">
        <f t="shared" si="271"/>
        <v>-1.5707963250000001</v>
      </c>
      <c r="O389">
        <f t="shared" si="272"/>
        <v>98.965220883906397</v>
      </c>
      <c r="P389">
        <f t="shared" si="273"/>
        <v>1.5606915949621176</v>
      </c>
      <c r="Q389">
        <f t="shared" si="274"/>
        <v>104.13069103843645</v>
      </c>
      <c r="R389">
        <f t="shared" si="275"/>
        <v>1.5611928625205267</v>
      </c>
      <c r="S389">
        <f t="shared" si="276"/>
        <v>0.97711119614830966</v>
      </c>
      <c r="T389">
        <f t="shared" si="277"/>
        <v>-0.2143672408688474</v>
      </c>
      <c r="U389">
        <f t="shared" si="278"/>
        <v>0.18855261646193675</v>
      </c>
      <c r="V389">
        <f t="shared" si="279"/>
        <v>-1.3811082086823618</v>
      </c>
      <c r="X389">
        <f t="shared" si="296"/>
        <v>-45.311355119310434</v>
      </c>
      <c r="Y389">
        <f t="shared" si="280"/>
        <v>-153.29214508853667</v>
      </c>
      <c r="Z389">
        <f t="shared" si="297"/>
        <v>26.707854911463329</v>
      </c>
      <c r="AC389">
        <v>1</v>
      </c>
      <c r="AD389">
        <f t="shared" si="281"/>
        <v>98.960168475000003</v>
      </c>
      <c r="AE389">
        <f t="shared" si="282"/>
        <v>-0.54406194136668806</v>
      </c>
      <c r="AF389">
        <f t="shared" si="283"/>
        <v>0.10445795561249999</v>
      </c>
      <c r="AG389">
        <f t="shared" si="315"/>
        <v>31.908246239845074</v>
      </c>
      <c r="AH389">
        <f t="shared" si="316"/>
        <v>-175.76509407254161</v>
      </c>
      <c r="AJ389">
        <f t="shared" si="284"/>
        <v>10500</v>
      </c>
      <c r="AK389">
        <f t="shared" si="285"/>
        <v>2285.9798917725007</v>
      </c>
      <c r="AL389">
        <v>1</v>
      </c>
      <c r="AM389">
        <f t="shared" si="286"/>
        <v>104.12588926939502</v>
      </c>
      <c r="AN389">
        <f t="shared" si="317"/>
        <v>22.920325215482496</v>
      </c>
      <c r="AO389">
        <f t="shared" si="318"/>
        <v>-100.61935363335208</v>
      </c>
      <c r="AQ389">
        <f t="shared" si="287"/>
        <v>3.2653050562269203E-3</v>
      </c>
      <c r="AR389">
        <f t="shared" si="288"/>
        <v>-5.7142838483971108</v>
      </c>
      <c r="AT389">
        <f t="shared" si="313"/>
        <v>-1004.2674480129409</v>
      </c>
      <c r="AU389">
        <f t="shared" si="314"/>
        <v>-182.90670276940781</v>
      </c>
      <c r="AV389">
        <f t="shared" si="302"/>
        <v>-2.9614378388008054</v>
      </c>
      <c r="AW389">
        <f t="shared" si="303"/>
        <v>-528.54114538208273</v>
      </c>
      <c r="AX389">
        <f t="shared" si="304"/>
        <v>-411.30583488385741</v>
      </c>
      <c r="AY389">
        <f t="shared" si="312"/>
        <v>-2.4802922174044295</v>
      </c>
      <c r="BA389">
        <f t="shared" si="289"/>
        <v>1.5241953345287536</v>
      </c>
      <c r="BB389">
        <f t="shared" si="305"/>
        <v>3.660812558862018</v>
      </c>
      <c r="BC389">
        <f t="shared" si="306"/>
        <v>-0.48114562139637584</v>
      </c>
      <c r="BD389">
        <f t="shared" si="290"/>
        <v>-207.56761346871232</v>
      </c>
      <c r="BF389">
        <f t="shared" si="291"/>
        <v>-46.416684177220617</v>
      </c>
      <c r="BG389">
        <f t="shared" si="292"/>
        <v>-178.3165526224052</v>
      </c>
      <c r="BH389">
        <f t="shared" si="307"/>
        <v>1.6834473775948027</v>
      </c>
      <c r="BI389">
        <f t="shared" si="308"/>
        <v>1.6834473775948027</v>
      </c>
      <c r="BJ389">
        <f t="shared" si="293"/>
        <v>0</v>
      </c>
      <c r="BK389">
        <f t="shared" si="309"/>
        <v>0</v>
      </c>
      <c r="BM389">
        <f t="shared" si="310"/>
        <v>-50.07749673608263</v>
      </c>
      <c r="BN389">
        <f t="shared" si="294"/>
        <v>-150.74893915369287</v>
      </c>
      <c r="BQ389" s="56">
        <f t="shared" si="311"/>
        <v>20.562773359147151</v>
      </c>
      <c r="BR389" s="59"/>
      <c r="BS389" s="59"/>
      <c r="BT389" s="59">
        <v>616595.00199999998</v>
      </c>
      <c r="BU389" s="59">
        <v>10.4749</v>
      </c>
      <c r="BV389" s="59">
        <v>115.142</v>
      </c>
      <c r="BY389" s="59"/>
      <c r="BZ389" s="59"/>
      <c r="CA389" s="59"/>
      <c r="CC389" s="59"/>
    </row>
    <row r="390" spans="1:81" x14ac:dyDescent="0.2">
      <c r="A390">
        <f t="shared" si="319"/>
        <v>880000</v>
      </c>
      <c r="B390">
        <f t="shared" si="295"/>
        <v>880</v>
      </c>
      <c r="C390">
        <f t="shared" si="264"/>
        <v>1.1426814364596416</v>
      </c>
      <c r="D390">
        <f t="shared" si="265"/>
        <v>0.50508252363811323</v>
      </c>
      <c r="F390">
        <f t="shared" si="266"/>
        <v>1.8102377169979631E-4</v>
      </c>
      <c r="G390">
        <f t="shared" si="267"/>
        <v>7.8093794904110017E-3</v>
      </c>
      <c r="H390">
        <f t="shared" si="268"/>
        <v>-3.1337832705095892</v>
      </c>
      <c r="J390">
        <f t="shared" si="269"/>
        <v>15</v>
      </c>
      <c r="M390">
        <f t="shared" si="270"/>
        <v>9.0655584001911814E-4</v>
      </c>
      <c r="N390">
        <f t="shared" si="271"/>
        <v>-1.5707963250000001</v>
      </c>
      <c r="O390">
        <f t="shared" si="272"/>
        <v>99.530678855490706</v>
      </c>
      <c r="P390">
        <f t="shared" si="273"/>
        <v>1.5607490043363457</v>
      </c>
      <c r="Q390">
        <f t="shared" si="274"/>
        <v>104.72566883844459</v>
      </c>
      <c r="R390">
        <f t="shared" si="275"/>
        <v>1.5612474243321453</v>
      </c>
      <c r="S390">
        <f t="shared" si="276"/>
        <v>0.97685789899628417</v>
      </c>
      <c r="T390">
        <f t="shared" si="277"/>
        <v>-0.21555470511581543</v>
      </c>
      <c r="U390">
        <f t="shared" si="278"/>
        <v>0.18751906991882647</v>
      </c>
      <c r="V390">
        <f t="shared" si="279"/>
        <v>-1.3821605263454688</v>
      </c>
      <c r="X390">
        <f t="shared" si="296"/>
        <v>-45.399329155427701</v>
      </c>
      <c r="Y390">
        <f t="shared" si="280"/>
        <v>-153.27857907980794</v>
      </c>
      <c r="Z390">
        <f t="shared" si="297"/>
        <v>26.72142092019206</v>
      </c>
      <c r="AC390">
        <v>1</v>
      </c>
      <c r="AD390">
        <f t="shared" si="281"/>
        <v>99.525655151999999</v>
      </c>
      <c r="AE390">
        <f t="shared" si="282"/>
        <v>-0.55029755741304598</v>
      </c>
      <c r="AF390">
        <f t="shared" si="283"/>
        <v>0.105054858216</v>
      </c>
      <c r="AG390">
        <f t="shared" si="315"/>
        <v>31.559396434802856</v>
      </c>
      <c r="AH390">
        <f t="shared" si="316"/>
        <v>-174.83302612943484</v>
      </c>
      <c r="AJ390">
        <f t="shared" si="284"/>
        <v>10500</v>
      </c>
      <c r="AK390">
        <f t="shared" si="285"/>
        <v>2299.0426340112003</v>
      </c>
      <c r="AL390">
        <v>1</v>
      </c>
      <c r="AM390">
        <f t="shared" si="286"/>
        <v>104.72089435093442</v>
      </c>
      <c r="AN390">
        <f t="shared" si="317"/>
        <v>22.909376454366182</v>
      </c>
      <c r="AO390">
        <f t="shared" si="318"/>
        <v>-100.04775731226505</v>
      </c>
      <c r="AQ390">
        <f t="shared" si="287"/>
        <v>3.2283047429284791E-3</v>
      </c>
      <c r="AR390">
        <f t="shared" si="288"/>
        <v>-5.6818163475541237</v>
      </c>
      <c r="AT390">
        <f t="shared" si="313"/>
        <v>-993.26726260538578</v>
      </c>
      <c r="AU390">
        <f t="shared" si="314"/>
        <v>-179.87910886967839</v>
      </c>
      <c r="AV390">
        <f t="shared" si="302"/>
        <v>-2.9624359938418765</v>
      </c>
      <c r="AW390">
        <f t="shared" si="303"/>
        <v>-522.29457473250557</v>
      </c>
      <c r="AX390">
        <f t="shared" si="304"/>
        <v>-408.95201896568273</v>
      </c>
      <c r="AY390">
        <f t="shared" si="312"/>
        <v>-2.4773093630707881</v>
      </c>
      <c r="BA390">
        <f t="shared" si="289"/>
        <v>1.5217058775845793</v>
      </c>
      <c r="BB390">
        <f t="shared" si="305"/>
        <v>3.6466143616226669</v>
      </c>
      <c r="BC390">
        <f t="shared" si="306"/>
        <v>-0.48512663077108842</v>
      </c>
      <c r="BD390">
        <f t="shared" si="290"/>
        <v>-207.79570850434601</v>
      </c>
      <c r="BF390">
        <f t="shared" si="291"/>
        <v>-46.518344829050662</v>
      </c>
      <c r="BG390">
        <f t="shared" si="292"/>
        <v>-178.40916707506989</v>
      </c>
      <c r="BH390">
        <f t="shared" si="307"/>
        <v>1.5908329249301119</v>
      </c>
      <c r="BI390">
        <f t="shared" si="308"/>
        <v>1.5908329249301119</v>
      </c>
      <c r="BJ390">
        <f t="shared" si="293"/>
        <v>0</v>
      </c>
      <c r="BK390">
        <f t="shared" si="309"/>
        <v>0</v>
      </c>
      <c r="BM390">
        <f t="shared" si="310"/>
        <v>-50.164959190673329</v>
      </c>
      <c r="BN390">
        <f t="shared" si="294"/>
        <v>-150.61345857072388</v>
      </c>
      <c r="BQ390" s="56">
        <f t="shared" si="311"/>
        <v>20.548575161907806</v>
      </c>
      <c r="BR390" s="59"/>
      <c r="BS390" s="59"/>
      <c r="BT390" s="59">
        <v>630957.34400000004</v>
      </c>
      <c r="BU390" s="59">
        <v>10.283799999999999</v>
      </c>
      <c r="BV390" s="59">
        <v>115.247</v>
      </c>
      <c r="BY390" s="59"/>
      <c r="BZ390" s="59"/>
      <c r="CA390" s="59"/>
      <c r="CC390" s="59"/>
    </row>
    <row r="391" spans="1:81" x14ac:dyDescent="0.2">
      <c r="A391">
        <f t="shared" si="319"/>
        <v>885000</v>
      </c>
      <c r="B391">
        <f t="shared" si="295"/>
        <v>885</v>
      </c>
      <c r="C391">
        <f t="shared" si="264"/>
        <v>1.1442048923051731</v>
      </c>
      <c r="D391">
        <f t="shared" si="265"/>
        <v>0.50748534407804491</v>
      </c>
      <c r="F391">
        <f t="shared" si="266"/>
        <v>1.7898377263947978E-4</v>
      </c>
      <c r="G391">
        <f t="shared" si="267"/>
        <v>7.7652443256805192E-3</v>
      </c>
      <c r="H391">
        <f t="shared" si="268"/>
        <v>-3.1338274056743196</v>
      </c>
      <c r="J391">
        <f t="shared" si="269"/>
        <v>15</v>
      </c>
      <c r="M391">
        <f t="shared" si="270"/>
        <v>9.0143405561223064E-4</v>
      </c>
      <c r="N391">
        <f t="shared" si="271"/>
        <v>-1.5707963250000001</v>
      </c>
      <c r="O391">
        <f t="shared" si="272"/>
        <v>100.09613715140556</v>
      </c>
      <c r="P391">
        <f t="shared" si="273"/>
        <v>1.560805765082194</v>
      </c>
      <c r="Q391">
        <f t="shared" si="274"/>
        <v>105.32064694669766</v>
      </c>
      <c r="R391">
        <f t="shared" si="275"/>
        <v>1.5613013696820153</v>
      </c>
      <c r="S391">
        <f t="shared" si="276"/>
        <v>0.97660335712619561</v>
      </c>
      <c r="T391">
        <f t="shared" si="277"/>
        <v>-0.21674155219559965</v>
      </c>
      <c r="U391">
        <f t="shared" si="278"/>
        <v>0.18649658916957909</v>
      </c>
      <c r="V391">
        <f t="shared" si="279"/>
        <v>-1.3832013692560012</v>
      </c>
      <c r="X391">
        <f t="shared" si="296"/>
        <v>-45.486747580149384</v>
      </c>
      <c r="Y391">
        <f t="shared" si="280"/>
        <v>-153.26473061078107</v>
      </c>
      <c r="Z391">
        <f t="shared" si="297"/>
        <v>26.735269389218928</v>
      </c>
      <c r="AC391">
        <v>1</v>
      </c>
      <c r="AD391">
        <f t="shared" si="281"/>
        <v>100.09114182900001</v>
      </c>
      <c r="AE391">
        <f t="shared" si="282"/>
        <v>-0.55656870403516645</v>
      </c>
      <c r="AF391">
        <f t="shared" si="283"/>
        <v>0.10565176081949998</v>
      </c>
      <c r="AG391">
        <f t="shared" si="315"/>
        <v>31.216168415765381</v>
      </c>
      <c r="AH391">
        <f t="shared" si="316"/>
        <v>-173.91042286078761</v>
      </c>
      <c r="AJ391">
        <f t="shared" si="284"/>
        <v>10500</v>
      </c>
      <c r="AK391">
        <f t="shared" si="285"/>
        <v>2312.1053762499</v>
      </c>
      <c r="AL391">
        <v>1</v>
      </c>
      <c r="AM391">
        <f t="shared" si="286"/>
        <v>105.3158994324738</v>
      </c>
      <c r="AN391">
        <f t="shared" si="317"/>
        <v>22.898612718452522</v>
      </c>
      <c r="AO391">
        <f t="shared" si="318"/>
        <v>-99.48261794981137</v>
      </c>
      <c r="AQ391">
        <f t="shared" si="287"/>
        <v>3.1919297800983818E-3</v>
      </c>
      <c r="AR391">
        <f t="shared" si="288"/>
        <v>-5.6497157107741351</v>
      </c>
      <c r="AT391">
        <f t="shared" si="313"/>
        <v>-982.44480848637818</v>
      </c>
      <c r="AU391">
        <f t="shared" si="314"/>
        <v>-176.91758698651986</v>
      </c>
      <c r="AV391">
        <f t="shared" si="302"/>
        <v>-2.9634232860722998</v>
      </c>
      <c r="AW391">
        <f t="shared" si="303"/>
        <v>-516.15376628383501</v>
      </c>
      <c r="AX391">
        <f t="shared" si="304"/>
        <v>-406.62512116038579</v>
      </c>
      <c r="AY391">
        <f t="shared" si="312"/>
        <v>-2.4743361077745796</v>
      </c>
      <c r="BA391">
        <f t="shared" si="289"/>
        <v>1.5192092201674037</v>
      </c>
      <c r="BB391">
        <f t="shared" si="305"/>
        <v>3.6323517498987927</v>
      </c>
      <c r="BC391">
        <f t="shared" si="306"/>
        <v>-0.48908717829772019</v>
      </c>
      <c r="BD391">
        <f t="shared" si="290"/>
        <v>-208.02263116244228</v>
      </c>
      <c r="BF391">
        <f t="shared" si="291"/>
        <v>-46.619473902869188</v>
      </c>
      <c r="BG391">
        <f t="shared" si="292"/>
        <v>-178.50094702154306</v>
      </c>
      <c r="BH391">
        <f t="shared" si="307"/>
        <v>1.4990529784569446</v>
      </c>
      <c r="BI391">
        <f t="shared" si="308"/>
        <v>1.4990529784569446</v>
      </c>
      <c r="BJ391">
        <f t="shared" si="293"/>
        <v>0</v>
      </c>
      <c r="BK391">
        <f t="shared" si="309"/>
        <v>0</v>
      </c>
      <c r="BM391">
        <f t="shared" si="310"/>
        <v>-50.251825652767977</v>
      </c>
      <c r="BN391">
        <f t="shared" si="294"/>
        <v>-150.47831585910077</v>
      </c>
      <c r="BQ391" s="56">
        <f t="shared" si="311"/>
        <v>20.534312550183927</v>
      </c>
      <c r="BR391" s="59"/>
      <c r="BS391" s="59"/>
      <c r="BT391" s="59">
        <v>645654.22900000005</v>
      </c>
      <c r="BU391" s="59">
        <v>9.9821899999999992</v>
      </c>
      <c r="BV391" s="59">
        <v>113.164</v>
      </c>
      <c r="BY391" s="59"/>
      <c r="BZ391" s="59"/>
      <c r="CA391" s="59"/>
      <c r="CC391" s="59"/>
    </row>
    <row r="392" spans="1:81" x14ac:dyDescent="0.2">
      <c r="A392">
        <f t="shared" si="319"/>
        <v>890000</v>
      </c>
      <c r="B392">
        <f t="shared" si="295"/>
        <v>890</v>
      </c>
      <c r="C392">
        <f t="shared" si="264"/>
        <v>1.1457349366801521</v>
      </c>
      <c r="D392">
        <f t="shared" si="265"/>
        <v>0.5098817607446674</v>
      </c>
      <c r="F392">
        <f t="shared" si="266"/>
        <v>1.7697806582435681E-4</v>
      </c>
      <c r="G392">
        <f t="shared" si="267"/>
        <v>7.7216053019867892E-3</v>
      </c>
      <c r="H392">
        <f t="shared" si="268"/>
        <v>-3.1338710446980134</v>
      </c>
      <c r="J392">
        <f t="shared" si="269"/>
        <v>15</v>
      </c>
      <c r="M392">
        <f t="shared" si="270"/>
        <v>8.9636981934474618E-4</v>
      </c>
      <c r="N392">
        <f t="shared" si="271"/>
        <v>-1.5707963250000001</v>
      </c>
      <c r="O392">
        <f t="shared" si="272"/>
        <v>100.66159576618529</v>
      </c>
      <c r="P392">
        <f t="shared" si="273"/>
        <v>1.5608618881301501</v>
      </c>
      <c r="Q392">
        <f t="shared" si="274"/>
        <v>105.91562535800098</v>
      </c>
      <c r="R392">
        <f t="shared" si="275"/>
        <v>1.5613547089586963</v>
      </c>
      <c r="S392">
        <f t="shared" si="276"/>
        <v>0.97634757366125258</v>
      </c>
      <c r="T392">
        <f t="shared" si="277"/>
        <v>-0.21792777924823517</v>
      </c>
      <c r="U392">
        <f t="shared" si="278"/>
        <v>0.1854850007742396</v>
      </c>
      <c r="V392">
        <f t="shared" si="279"/>
        <v>-1.3842309218630902</v>
      </c>
      <c r="X392">
        <f t="shared" si="296"/>
        <v>-45.57361643429654</v>
      </c>
      <c r="Y392">
        <f t="shared" si="280"/>
        <v>-153.25060947530815</v>
      </c>
      <c r="Z392">
        <f t="shared" si="297"/>
        <v>26.749390524691847</v>
      </c>
      <c r="AC392">
        <v>1</v>
      </c>
      <c r="AD392">
        <f t="shared" si="281"/>
        <v>100.656628506</v>
      </c>
      <c r="AE392">
        <f t="shared" si="282"/>
        <v>-0.5628753812330497</v>
      </c>
      <c r="AF392">
        <f t="shared" si="283"/>
        <v>0.10624866342299999</v>
      </c>
      <c r="AG392">
        <f t="shared" si="315"/>
        <v>30.878443506812086</v>
      </c>
      <c r="AH392">
        <f t="shared" si="316"/>
        <v>-172.99714715094578</v>
      </c>
      <c r="AJ392">
        <f t="shared" si="284"/>
        <v>10500</v>
      </c>
      <c r="AK392">
        <f t="shared" si="285"/>
        <v>2325.1681184886002</v>
      </c>
      <c r="AL392">
        <v>1</v>
      </c>
      <c r="AM392">
        <f t="shared" si="286"/>
        <v>105.91090451401321</v>
      </c>
      <c r="AN392">
        <f t="shared" si="317"/>
        <v>22.888029862192827</v>
      </c>
      <c r="AO392">
        <f t="shared" si="318"/>
        <v>-98.923826759987378</v>
      </c>
      <c r="AQ392">
        <f t="shared" si="287"/>
        <v>3.1561661544735027E-3</v>
      </c>
      <c r="AR392">
        <f t="shared" si="288"/>
        <v>-5.6179757549628349</v>
      </c>
      <c r="AT392">
        <f t="shared" si="313"/>
        <v>-971.79632087345226</v>
      </c>
      <c r="AU392">
        <f t="shared" si="314"/>
        <v>-174.02035471291816</v>
      </c>
      <c r="AV392">
        <f t="shared" si="302"/>
        <v>-2.9643998896290285</v>
      </c>
      <c r="AW392">
        <f t="shared" si="303"/>
        <v>-510.1163450703794</v>
      </c>
      <c r="AX392">
        <f t="shared" si="304"/>
        <v>-404.32467962256419</v>
      </c>
      <c r="AY392">
        <f t="shared" si="312"/>
        <v>-2.4713724393632761</v>
      </c>
      <c r="BA392">
        <f t="shared" si="289"/>
        <v>1.5167056290995637</v>
      </c>
      <c r="BB392">
        <f t="shared" si="305"/>
        <v>3.6180259721854489</v>
      </c>
      <c r="BC392">
        <f t="shared" si="306"/>
        <v>-0.49302745026575234</v>
      </c>
      <c r="BD392">
        <f t="shared" si="290"/>
        <v>-208.24839211660219</v>
      </c>
      <c r="BF392">
        <f t="shared" si="291"/>
        <v>-46.720076834979679</v>
      </c>
      <c r="BG392">
        <f t="shared" si="292"/>
        <v>-178.59190374647636</v>
      </c>
      <c r="BH392">
        <f t="shared" si="307"/>
        <v>1.4080962535236381</v>
      </c>
      <c r="BI392">
        <f t="shared" si="308"/>
        <v>1.4080962535236381</v>
      </c>
      <c r="BJ392">
        <f t="shared" si="293"/>
        <v>0</v>
      </c>
      <c r="BK392">
        <f t="shared" si="309"/>
        <v>0</v>
      </c>
      <c r="BM392">
        <f t="shared" si="310"/>
        <v>-50.338102807165129</v>
      </c>
      <c r="BN392">
        <f t="shared" si="294"/>
        <v>-150.3435116298742</v>
      </c>
      <c r="BQ392" s="56">
        <f t="shared" si="311"/>
        <v>20.519986772470588</v>
      </c>
      <c r="BR392" s="59"/>
      <c r="BS392" s="59"/>
      <c r="BT392" s="59">
        <v>660693.44799999997</v>
      </c>
      <c r="BU392" s="59">
        <v>9.7520900000000008</v>
      </c>
      <c r="BV392" s="59">
        <v>112.872</v>
      </c>
      <c r="BY392" s="59"/>
      <c r="BZ392" s="59"/>
      <c r="CA392" s="59"/>
      <c r="CC392" s="59"/>
    </row>
    <row r="393" spans="1:81" x14ac:dyDescent="0.2">
      <c r="A393">
        <f t="shared" si="319"/>
        <v>895000</v>
      </c>
      <c r="B393">
        <f t="shared" si="295"/>
        <v>895</v>
      </c>
      <c r="C393">
        <f t="shared" ref="C393:C456" si="320">SQRT((A393/Fesr)^2+1)</f>
        <v>1.1472715432244491</v>
      </c>
      <c r="D393">
        <f t="shared" ref="D393:D456" si="321">ATAN(A393/Fesr)</f>
        <v>0.51227177178968375</v>
      </c>
      <c r="F393">
        <f t="shared" ref="F393:F456" si="322">(Ro/(Ro+Rdcr))/SQRT((A393/(Q*Fo))^2+(1-(A393^2/Fo^2))^2)</f>
        <v>1.7500588690097472E-4</v>
      </c>
      <c r="G393">
        <f t="shared" ref="G393:G456" si="323">-ATAN(A393*Fo/(Q*(Fo^2-A393^2)))</f>
        <v>7.6784540987905672E-3</v>
      </c>
      <c r="H393">
        <f t="shared" ref="H393:H456" si="324">IF(G393&gt;0,G393-Pi,G393)</f>
        <v>-3.1339141959012098</v>
      </c>
      <c r="J393">
        <f t="shared" ref="J393:J456" si="325">Vin/Vramp</f>
        <v>15</v>
      </c>
      <c r="M393">
        <f t="shared" ref="M393:M456" si="326">1/(2*Pi*_Rfb1*(Cc1ea_u+Cc2ea_u)*A393)</f>
        <v>8.9136216672270837E-4</v>
      </c>
      <c r="N393">
        <f t="shared" ref="N393:N456" si="327">-Pi/2</f>
        <v>-1.5707963250000001</v>
      </c>
      <c r="O393">
        <f t="shared" ref="O393:O456" si="328">SQRT(1+(A393/Fz1_u)^2)</f>
        <v>101.22705469448628</v>
      </c>
      <c r="P393">
        <f t="shared" ref="P393:P456" si="329">ATAN2(Fz1_u,A393)</f>
        <v>1.5609173841664863</v>
      </c>
      <c r="Q393">
        <f t="shared" ref="Q393:Q456" si="330">SQRT(1+(A393/Fz2_u)^2)</f>
        <v>106.51060406727596</v>
      </c>
      <c r="R393">
        <f t="shared" ref="R393:R456" si="331">ATAN2(Fz2_u,A393)</f>
        <v>1.5614074523186354</v>
      </c>
      <c r="S393">
        <f t="shared" ref="S393:S456" si="332">1/SQRT(1+(A393/Fp1_u)^2)</f>
        <v>0.97609055173543668</v>
      </c>
      <c r="T393">
        <f t="shared" ref="T393:T456" si="333">-ATAN2(Fp1_u,A393)</f>
        <v>-0.21911338342372419</v>
      </c>
      <c r="U393">
        <f t="shared" ref="U393:U456" si="334">1/SQRT(1+(A393/Fp2_u)^2)</f>
        <v>0.18448413482547937</v>
      </c>
      <c r="V393">
        <f t="shared" ref="V393:V456" si="335">-ATAN2(Fp2_u,A393)</f>
        <v>-1.3852493647316786</v>
      </c>
      <c r="X393">
        <f t="shared" si="296"/>
        <v>-45.659941667753905</v>
      </c>
      <c r="Y393">
        <f t="shared" ref="Y393:Y456" si="336">(180/Pi)*(D393+H393+N393+P393+R393+T393+V393)</f>
        <v>-153.23622524413699</v>
      </c>
      <c r="Z393">
        <f t="shared" si="297"/>
        <v>26.763774755863011</v>
      </c>
      <c r="AC393">
        <v>1</v>
      </c>
      <c r="AD393">
        <f t="shared" ref="AD393:AD456" si="337">Rcea1_u*Cc1ea_u*A393*2*Pi</f>
        <v>101.222115183</v>
      </c>
      <c r="AE393">
        <f t="shared" ref="AE393:AE456" si="338">-Rcea1_u*Cc1ea_u*Cc2ea_u*(A393*2*Pi)^2</f>
        <v>-0.56921758900669572</v>
      </c>
      <c r="AF393">
        <f t="shared" ref="AF393:AF456" si="339">(Cc2ea_u+Cc1ea_u)*A393*2*Pi</f>
        <v>0.1068455660265</v>
      </c>
      <c r="AG393">
        <f t="shared" si="315"/>
        <v>30.546106107332463</v>
      </c>
      <c r="AH393">
        <f t="shared" si="316"/>
        <v>-172.09306437103837</v>
      </c>
      <c r="AJ393">
        <f t="shared" ref="AJ393:AJ456" si="340">_Rfb1</f>
        <v>10500</v>
      </c>
      <c r="AK393">
        <f t="shared" ref="AK393:AK456" si="341">_Rfb1*Rcea2_u*Cc3ea_u*A393*2*Pi</f>
        <v>2338.2308607273003</v>
      </c>
      <c r="AL393">
        <v>1</v>
      </c>
      <c r="AM393">
        <f t="shared" ref="AM393:AM456" si="342">(_Rfb1+Rcea2_u)*Cc3ea_u*A393*2*Pi</f>
        <v>106.50590959555261</v>
      </c>
      <c r="AN393">
        <f t="shared" si="317"/>
        <v>22.877623855490956</v>
      </c>
      <c r="AO393">
        <f t="shared" si="318"/>
        <v>-98.371277386677548</v>
      </c>
      <c r="AQ393">
        <f t="shared" ref="AQ393:AQ456" si="343">Eadcg/(1+(Eadcg*A393/GBP)^2)</f>
        <v>3.1210002431259188E-3</v>
      </c>
      <c r="AR393">
        <f t="shared" ref="AR393:AR456" si="344">-(A393*Eadcg*Eadcg/GBP)/(1+(Eadcg*A393/GBP)^2)</f>
        <v>-5.5865904351953946</v>
      </c>
      <c r="AT393">
        <f t="shared" si="313"/>
        <v>-961.31813297412066</v>
      </c>
      <c r="AU393">
        <f t="shared" si="314"/>
        <v>-171.18568670742945</v>
      </c>
      <c r="AV393">
        <f t="shared" si="302"/>
        <v>-2.9653659749952275</v>
      </c>
      <c r="AW393">
        <f t="shared" si="303"/>
        <v>-504.18000243682388</v>
      </c>
      <c r="AX393">
        <f t="shared" si="304"/>
        <v>-402.05024308533348</v>
      </c>
      <c r="AY393">
        <f t="shared" si="312"/>
        <v>-2.4684183451329273</v>
      </c>
      <c r="BA393">
        <f t="shared" ref="BA393:BA456" si="345">SQRT(AT393^2+AU393^2)/SQRT(AW393^2+AX393^2)</f>
        <v>1.5141953659070162</v>
      </c>
      <c r="BB393">
        <f t="shared" si="305"/>
        <v>3.603638254424709</v>
      </c>
      <c r="BC393">
        <f t="shared" si="306"/>
        <v>-0.49694762986230012</v>
      </c>
      <c r="BD393">
        <f t="shared" ref="BD393:BD456" si="346">BC393*180/Pi-180</f>
        <v>-208.47300186267435</v>
      </c>
      <c r="BF393">
        <f t="shared" ref="BF393:BF456" si="347">20*LOG(BA393*J393*F393*C393)</f>
        <v>-46.820158976558311</v>
      </c>
      <c r="BG393">
        <f t="shared" ref="BG393:BG456" si="348">(180/Pi)*(D393+H393+BC393)</f>
        <v>-178.68204832834982</v>
      </c>
      <c r="BH393">
        <f t="shared" si="307"/>
        <v>1.317951671650178</v>
      </c>
      <c r="BI393">
        <f t="shared" si="308"/>
        <v>1.317951671650178</v>
      </c>
      <c r="BJ393">
        <f t="shared" ref="BJ393:BJ456" si="349">SUM((BF394&lt;0)*(BF393&gt;0))*A393</f>
        <v>0</v>
      </c>
      <c r="BK393">
        <f t="shared" si="309"/>
        <v>0</v>
      </c>
      <c r="BM393">
        <f t="shared" si="310"/>
        <v>-50.423797230983013</v>
      </c>
      <c r="BN393">
        <f t="shared" ref="BN393:BN456" si="350">(H393+D393)*180/Pi</f>
        <v>-150.2090464656755</v>
      </c>
      <c r="BQ393" s="56">
        <f t="shared" si="311"/>
        <v>20.505599054709847</v>
      </c>
      <c r="BR393" s="59"/>
      <c r="BS393" s="59"/>
      <c r="BT393" s="59">
        <v>676082.97499999998</v>
      </c>
      <c r="BU393" s="59">
        <v>9.5117999999999991</v>
      </c>
      <c r="BV393" s="59">
        <v>110.592</v>
      </c>
      <c r="BY393" s="59"/>
      <c r="BZ393" s="59"/>
      <c r="CA393" s="59"/>
      <c r="CC393" s="59"/>
    </row>
    <row r="394" spans="1:81" x14ac:dyDescent="0.2">
      <c r="A394">
        <f t="shared" si="319"/>
        <v>900000</v>
      </c>
      <c r="B394">
        <f t="shared" ref="B394:B457" si="351">A394/1000</f>
        <v>900</v>
      </c>
      <c r="C394">
        <f t="shared" si="320"/>
        <v>1.1488146856062131</v>
      </c>
      <c r="D394">
        <f t="shared" si="321"/>
        <v>0.51465537566738218</v>
      </c>
      <c r="F394">
        <f t="shared" si="322"/>
        <v>1.7306649269506933E-4</v>
      </c>
      <c r="G394">
        <f t="shared" si="323"/>
        <v>7.6357825806002456E-3</v>
      </c>
      <c r="H394">
        <f t="shared" si="324"/>
        <v>-3.1339568674193998</v>
      </c>
      <c r="J394">
        <f t="shared" si="325"/>
        <v>15</v>
      </c>
      <c r="M394">
        <f t="shared" si="326"/>
        <v>8.8641015468535992E-4</v>
      </c>
      <c r="N394">
        <f t="shared" si="327"/>
        <v>-1.5707963250000001</v>
      </c>
      <c r="O394">
        <f t="shared" si="328"/>
        <v>101.79251393108373</v>
      </c>
      <c r="P394">
        <f t="shared" si="329"/>
        <v>1.5609722636400398</v>
      </c>
      <c r="Q394">
        <f t="shared" si="330"/>
        <v>107.10558306955683</v>
      </c>
      <c r="R394">
        <f t="shared" si="331"/>
        <v>1.5614596096926141</v>
      </c>
      <c r="S394">
        <f t="shared" si="332"/>
        <v>0.97583229449340281</v>
      </c>
      <c r="T394">
        <f t="shared" si="333"/>
        <v>-0.2202983618820655</v>
      </c>
      <c r="U394">
        <f t="shared" si="334"/>
        <v>0.18349382486112775</v>
      </c>
      <c r="V394">
        <f t="shared" si="335"/>
        <v>-1.3862568746429378</v>
      </c>
      <c r="X394">
        <f t="shared" ref="X394:X457" si="352">20*LOG(C394*J394*O394*Q394*F394*M394*S394*U394)</f>
        <v>-45.745729141287363</v>
      </c>
      <c r="Y394">
        <f t="shared" si="336"/>
        <v>-153.22158727038848</v>
      </c>
      <c r="Z394">
        <f t="shared" ref="Z394:Z457" si="353">Y394+180</f>
        <v>26.778412729611517</v>
      </c>
      <c r="AC394">
        <v>1</v>
      </c>
      <c r="AD394">
        <f t="shared" si="337"/>
        <v>101.78760186</v>
      </c>
      <c r="AE394">
        <f t="shared" si="338"/>
        <v>-0.57559532735610441</v>
      </c>
      <c r="AF394">
        <f t="shared" si="339"/>
        <v>0.10744246863</v>
      </c>
      <c r="AG394">
        <f t="shared" si="315"/>
        <v>30.21904359817686</v>
      </c>
      <c r="AH394">
        <f t="shared" si="316"/>
        <v>-171.1980423274178</v>
      </c>
      <c r="AJ394">
        <f t="shared" si="340"/>
        <v>10500</v>
      </c>
      <c r="AK394">
        <f t="shared" si="341"/>
        <v>2351.2936029660004</v>
      </c>
      <c r="AL394">
        <v>1</v>
      </c>
      <c r="AM394">
        <f t="shared" si="342"/>
        <v>107.10091467709202</v>
      </c>
      <c r="AN394">
        <f t="shared" si="317"/>
        <v>22.867390779866415</v>
      </c>
      <c r="AO394">
        <f t="shared" si="318"/>
        <v>-97.824865836193496</v>
      </c>
      <c r="AQ394">
        <f t="shared" si="343"/>
        <v>3.0864188004880245E-3</v>
      </c>
      <c r="AR394">
        <f t="shared" si="344"/>
        <v>-5.5555538408784439</v>
      </c>
      <c r="AT394">
        <f t="shared" si="313"/>
        <v>-951.00667297866221</v>
      </c>
      <c r="AU394">
        <f t="shared" si="314"/>
        <v>-168.4119125859707</v>
      </c>
      <c r="AV394">
        <f t="shared" ref="AV394:AV457" si="354">ATAN2(AT394,AU394)</f>
        <v>-2.9663217090942915</v>
      </c>
      <c r="AW394">
        <f t="shared" ref="AW394:AW457" si="355">AG394-AH394*AO394/_Rfb2+AG394*AN394/_Rfb2+AN394-AO394*AR394+AQ394*AN394</f>
        <v>-498.34249382839158</v>
      </c>
      <c r="AX394">
        <f t="shared" ref="AX394:AX457" si="356">AH394+AH394*AN394/_Rfb2+AG394*AO394/_Rfb2+AO394+AO394*AQ394+AN394*AR394</f>
        <v>-399.80137055680802</v>
      </c>
      <c r="AY394">
        <f t="shared" si="312"/>
        <v>-2.4654738118409805</v>
      </c>
      <c r="BA394">
        <f t="shared" si="345"/>
        <v>1.5116786869407386</v>
      </c>
      <c r="BB394">
        <f t="shared" ref="BB394:BB457" si="357">20*LOG(BA394)</f>
        <v>3.5891898005801282</v>
      </c>
      <c r="BC394">
        <f t="shared" ref="BC394:BC457" si="358">AV394-AY394</f>
        <v>-0.50084789725331103</v>
      </c>
      <c r="BD394">
        <f t="shared" si="346"/>
        <v>-208.69647072340712</v>
      </c>
      <c r="BF394">
        <f t="shared" si="347"/>
        <v>-46.919725595433228</v>
      </c>
      <c r="BG394">
        <f t="shared" si="348"/>
        <v>-178.77139164460394</v>
      </c>
      <c r="BH394">
        <f t="shared" ref="BH394:BH457" si="359">IF(BG394&gt;180,BG394-180,BG394+180)</f>
        <v>1.2286083553960623</v>
      </c>
      <c r="BI394">
        <f t="shared" ref="BI394:BI457" si="360">IF(BH394&gt;180,BH394-360,BH394)</f>
        <v>1.2286083553960623</v>
      </c>
      <c r="BJ394">
        <f t="shared" si="349"/>
        <v>0</v>
      </c>
      <c r="BK394">
        <f t="shared" ref="BK394:BK457" si="361">IF(BJ394&gt;0,BI394,0)</f>
        <v>0</v>
      </c>
      <c r="BM394">
        <f t="shared" ref="BM394:BM457" si="362">20*LOG(J394*F394*C394)</f>
        <v>-50.50891539601335</v>
      </c>
      <c r="BN394">
        <f t="shared" si="350"/>
        <v>-150.07492092119682</v>
      </c>
      <c r="BQ394" s="56">
        <f t="shared" ref="BQ394:BQ457" si="363">20*LOG(BA394*7)</f>
        <v>20.491150600865264</v>
      </c>
      <c r="BR394" s="59"/>
      <c r="BS394" s="59"/>
      <c r="BT394" s="59">
        <v>691830.97100000002</v>
      </c>
      <c r="BU394" s="59">
        <v>9.28308</v>
      </c>
      <c r="BV394" s="59">
        <v>111.01300000000001</v>
      </c>
      <c r="BY394" s="59"/>
      <c r="BZ394" s="59"/>
      <c r="CA394" s="59"/>
      <c r="CC394" s="59"/>
    </row>
    <row r="395" spans="1:81" x14ac:dyDescent="0.2">
      <c r="A395">
        <f t="shared" si="319"/>
        <v>905000</v>
      </c>
      <c r="B395">
        <f t="shared" si="351"/>
        <v>905</v>
      </c>
      <c r="C395">
        <f t="shared" si="320"/>
        <v>1.1503643375231836</v>
      </c>
      <c r="D395">
        <f t="shared" si="321"/>
        <v>0.51703257113154755</v>
      </c>
      <c r="F395">
        <f t="shared" si="322"/>
        <v>1.7115916051119859E-4</v>
      </c>
      <c r="G395">
        <f t="shared" si="323"/>
        <v>7.5935827918552088E-3</v>
      </c>
      <c r="H395">
        <f t="shared" si="324"/>
        <v>-3.133999067208145</v>
      </c>
      <c r="J395">
        <f t="shared" si="325"/>
        <v>15</v>
      </c>
      <c r="M395">
        <f t="shared" si="326"/>
        <v>8.815128610130653E-4</v>
      </c>
      <c r="N395">
        <f t="shared" si="327"/>
        <v>-1.5707963250000001</v>
      </c>
      <c r="O395">
        <f t="shared" si="328"/>
        <v>102.3579734708682</v>
      </c>
      <c r="P395">
        <f t="shared" si="329"/>
        <v>1.5610265367687721</v>
      </c>
      <c r="Q395">
        <f t="shared" si="330"/>
        <v>107.70056235998759</v>
      </c>
      <c r="R395">
        <f t="shared" si="331"/>
        <v>1.5615111907919812</v>
      </c>
      <c r="S395">
        <f t="shared" si="332"/>
        <v>0.97557280509038036</v>
      </c>
      <c r="T395">
        <f t="shared" si="333"/>
        <v>-0.22148271179328366</v>
      </c>
      <c r="U395">
        <f t="shared" si="334"/>
        <v>0.18251390777922247</v>
      </c>
      <c r="V395">
        <f t="shared" si="335"/>
        <v>-1.3872536246916249</v>
      </c>
      <c r="X395">
        <f t="shared" si="352"/>
        <v>-45.830984628315733</v>
      </c>
      <c r="Y395">
        <f t="shared" si="336"/>
        <v>-153.20670469487359</v>
      </c>
      <c r="Z395">
        <f t="shared" si="353"/>
        <v>26.793295305126406</v>
      </c>
      <c r="AC395">
        <v>1</v>
      </c>
      <c r="AD395">
        <f t="shared" si="337"/>
        <v>102.353088537</v>
      </c>
      <c r="AE395">
        <f t="shared" si="338"/>
        <v>-0.58200859628127577</v>
      </c>
      <c r="AF395">
        <f t="shared" si="339"/>
        <v>0.10803937123349999</v>
      </c>
      <c r="AG395">
        <f t="shared" si="315"/>
        <v>29.897146251083015</v>
      </c>
      <c r="AH395">
        <f t="shared" si="316"/>
        <v>-170.31195121120237</v>
      </c>
      <c r="AJ395">
        <f t="shared" si="340"/>
        <v>10500</v>
      </c>
      <c r="AK395">
        <f t="shared" si="341"/>
        <v>2364.3563452047006</v>
      </c>
      <c r="AL395">
        <v>1</v>
      </c>
      <c r="AM395">
        <f t="shared" si="342"/>
        <v>107.6959197586314</v>
      </c>
      <c r="AN395">
        <f t="shared" si="317"/>
        <v>22.857326824765405</v>
      </c>
      <c r="AO395">
        <f t="shared" si="318"/>
        <v>-97.284490412047674</v>
      </c>
      <c r="AQ395">
        <f t="shared" si="343"/>
        <v>3.0524089458780421E-3</v>
      </c>
      <c r="AR395">
        <f t="shared" si="344"/>
        <v>-5.5248601920392568</v>
      </c>
      <c r="AT395">
        <f t="shared" si="313"/>
        <v>-940.85846115863103</v>
      </c>
      <c r="AU395">
        <f t="shared" si="314"/>
        <v>-165.69741490165126</v>
      </c>
      <c r="AV395">
        <f t="shared" si="354"/>
        <v>-2.9672672553810147</v>
      </c>
      <c r="AW395">
        <f t="shared" si="355"/>
        <v>-492.60163666645701</v>
      </c>
      <c r="AX395">
        <f t="shared" si="356"/>
        <v>-397.57763102706093</v>
      </c>
      <c r="AY395">
        <f t="shared" ref="AY395:AY458" si="364">ATAN2(AW395,AX395)</f>
        <v>-2.4625388257188439</v>
      </c>
      <c r="BA395">
        <f t="shared" si="345"/>
        <v>1.5091558434942964</v>
      </c>
      <c r="BB395">
        <f t="shared" si="357"/>
        <v>3.5746817931909525</v>
      </c>
      <c r="BC395">
        <f t="shared" si="358"/>
        <v>-0.5047284296621708</v>
      </c>
      <c r="BD395">
        <f t="shared" si="346"/>
        <v>-208.91880885295257</v>
      </c>
      <c r="BF395">
        <f t="shared" si="347"/>
        <v>-47.018781877818931</v>
      </c>
      <c r="BG395">
        <f t="shared" si="348"/>
        <v>-178.85994437661361</v>
      </c>
      <c r="BH395">
        <f t="shared" si="359"/>
        <v>1.1400556233863881</v>
      </c>
      <c r="BI395">
        <f t="shared" si="360"/>
        <v>1.1400556233863881</v>
      </c>
      <c r="BJ395">
        <f t="shared" si="349"/>
        <v>0</v>
      </c>
      <c r="BK395">
        <f t="shared" si="361"/>
        <v>0</v>
      </c>
      <c r="BM395">
        <f t="shared" si="362"/>
        <v>-50.593463671009886</v>
      </c>
      <c r="BN395">
        <f t="shared" si="350"/>
        <v>-149.94113552366107</v>
      </c>
      <c r="BQ395" s="56">
        <f t="shared" si="363"/>
        <v>20.47664259347609</v>
      </c>
      <c r="BR395" s="59"/>
      <c r="BS395" s="59"/>
      <c r="BT395" s="59">
        <v>707945.78399999999</v>
      </c>
      <c r="BU395" s="59">
        <v>9.1002899999999993</v>
      </c>
      <c r="BV395" s="59">
        <v>109.21</v>
      </c>
      <c r="BY395" s="59"/>
      <c r="BZ395" s="59"/>
      <c r="CA395" s="59"/>
      <c r="CC395" s="59"/>
    </row>
    <row r="396" spans="1:81" x14ac:dyDescent="0.2">
      <c r="A396">
        <f t="shared" si="319"/>
        <v>910000</v>
      </c>
      <c r="B396">
        <f t="shared" si="351"/>
        <v>910</v>
      </c>
      <c r="C396">
        <f t="shared" si="320"/>
        <v>1.15192047270398</v>
      </c>
      <c r="D396">
        <f t="shared" si="321"/>
        <v>0.51940335723236919</v>
      </c>
      <c r="F396">
        <f t="shared" si="322"/>
        <v>1.692831874592491E-4</v>
      </c>
      <c r="G396">
        <f t="shared" si="323"/>
        <v>7.5518469519780676E-3</v>
      </c>
      <c r="H396">
        <f t="shared" si="324"/>
        <v>-3.134040803048022</v>
      </c>
      <c r="J396">
        <f t="shared" si="325"/>
        <v>15</v>
      </c>
      <c r="M396">
        <f t="shared" si="326"/>
        <v>8.7666938375475167E-4</v>
      </c>
      <c r="N396">
        <f t="shared" si="327"/>
        <v>-1.5707963250000001</v>
      </c>
      <c r="O396">
        <f t="shared" si="328"/>
        <v>102.9234333088426</v>
      </c>
      <c r="P396">
        <f t="shared" si="329"/>
        <v>1.5610802135461093</v>
      </c>
      <c r="Q396">
        <f t="shared" si="330"/>
        <v>108.29554193381887</v>
      </c>
      <c r="R396">
        <f t="shared" si="331"/>
        <v>1.5615622051146798</v>
      </c>
      <c r="S396">
        <f t="shared" si="332"/>
        <v>0.97531208669207259</v>
      </c>
      <c r="T396">
        <f t="shared" si="333"/>
        <v>-0.22266643033745792</v>
      </c>
      <c r="U396">
        <f t="shared" si="334"/>
        <v>0.18154422375549728</v>
      </c>
      <c r="V396">
        <f t="shared" si="335"/>
        <v>-1.3882397843804906</v>
      </c>
      <c r="X396">
        <f t="shared" si="352"/>
        <v>-45.915713816638572</v>
      </c>
      <c r="Y396">
        <f t="shared" si="336"/>
        <v>-153.19158645125623</v>
      </c>
      <c r="Z396">
        <f t="shared" si="353"/>
        <v>26.808413548743772</v>
      </c>
      <c r="AC396">
        <v>1</v>
      </c>
      <c r="AD396">
        <f t="shared" si="337"/>
        <v>102.918575214</v>
      </c>
      <c r="AE396">
        <f t="shared" si="338"/>
        <v>-0.5884573957822099</v>
      </c>
      <c r="AF396">
        <f t="shared" si="339"/>
        <v>0.108636273837</v>
      </c>
      <c r="AG396">
        <f t="shared" si="315"/>
        <v>29.580307141250625</v>
      </c>
      <c r="AH396">
        <f t="shared" si="316"/>
        <v>-169.43466354889989</v>
      </c>
      <c r="AJ396">
        <f t="shared" si="340"/>
        <v>10500</v>
      </c>
      <c r="AK396">
        <f t="shared" si="341"/>
        <v>2377.4190874434003</v>
      </c>
      <c r="AL396">
        <v>1</v>
      </c>
      <c r="AM396">
        <f t="shared" si="342"/>
        <v>108.29092484017082</v>
      </c>
      <c r="AN396">
        <f t="shared" si="317"/>
        <v>22.847428284013294</v>
      </c>
      <c r="AO396">
        <f t="shared" si="318"/>
        <v>-96.750051651876348</v>
      </c>
      <c r="AQ396">
        <f t="shared" si="343"/>
        <v>3.0189581515039999E-3</v>
      </c>
      <c r="AR396">
        <f t="shared" si="344"/>
        <v>-5.4945038357372793</v>
      </c>
      <c r="AT396">
        <f t="shared" si="313"/>
        <v>-930.87010706691774</v>
      </c>
      <c r="AU396">
        <f t="shared" si="314"/>
        <v>-163.04062720855669</v>
      </c>
      <c r="AV396">
        <f t="shared" si="354"/>
        <v>-2.9682027739300163</v>
      </c>
      <c r="AW396">
        <f t="shared" si="355"/>
        <v>-486.95530830586438</v>
      </c>
      <c r="AX396">
        <f t="shared" si="356"/>
        <v>-395.37860318513947</v>
      </c>
      <c r="AY396">
        <f t="shared" si="364"/>
        <v>-2.4596133724842111</v>
      </c>
      <c r="BA396">
        <f t="shared" si="345"/>
        <v>1.5066270819177092</v>
      </c>
      <c r="BB396">
        <f t="shared" si="357"/>
        <v>3.5601153939067887</v>
      </c>
      <c r="BC396">
        <f t="shared" si="358"/>
        <v>-0.50858940144580522</v>
      </c>
      <c r="BD396">
        <f t="shared" si="346"/>
        <v>-209.14002624122671</v>
      </c>
      <c r="BF396">
        <f t="shared" si="347"/>
        <v>-47.117332930006995</v>
      </c>
      <c r="BG396">
        <f t="shared" si="348"/>
        <v>-178.94771701450932</v>
      </c>
      <c r="BH396">
        <f t="shared" si="359"/>
        <v>1.0522829854906774</v>
      </c>
      <c r="BI396">
        <f t="shared" si="360"/>
        <v>1.0522829854906774</v>
      </c>
      <c r="BJ396">
        <f t="shared" si="349"/>
        <v>0</v>
      </c>
      <c r="BK396">
        <f t="shared" si="361"/>
        <v>0</v>
      </c>
      <c r="BM396">
        <f t="shared" si="362"/>
        <v>-50.677448323913794</v>
      </c>
      <c r="BN396">
        <f t="shared" si="350"/>
        <v>-149.80769077328262</v>
      </c>
      <c r="BQ396" s="56">
        <f t="shared" si="363"/>
        <v>20.462076194191923</v>
      </c>
      <c r="BR396" s="59"/>
      <c r="BS396" s="59"/>
      <c r="BT396" s="59">
        <v>724435.96</v>
      </c>
      <c r="BU396" s="59">
        <v>8.7908299999999997</v>
      </c>
      <c r="BV396" s="59">
        <v>107.553</v>
      </c>
      <c r="BY396" s="59"/>
      <c r="BZ396" s="59"/>
      <c r="CA396" s="59"/>
      <c r="CC396" s="59"/>
    </row>
    <row r="397" spans="1:81" x14ac:dyDescent="0.2">
      <c r="A397">
        <f t="shared" si="319"/>
        <v>915000</v>
      </c>
      <c r="B397">
        <f t="shared" si="351"/>
        <v>915</v>
      </c>
      <c r="C397">
        <f t="shared" si="320"/>
        <v>1.1534830649093752</v>
      </c>
      <c r="D397">
        <f t="shared" si="321"/>
        <v>0.52176773331334658</v>
      </c>
      <c r="F397">
        <f t="shared" si="322"/>
        <v>1.6743788980664432E-4</v>
      </c>
      <c r="G397">
        <f t="shared" si="323"/>
        <v>7.5105674505892683E-3</v>
      </c>
      <c r="H397">
        <f t="shared" si="324"/>
        <v>-3.1340820825494111</v>
      </c>
      <c r="J397">
        <f t="shared" si="325"/>
        <v>15</v>
      </c>
      <c r="M397">
        <f t="shared" si="326"/>
        <v>8.7187884067412458E-4</v>
      </c>
      <c r="N397">
        <f t="shared" si="327"/>
        <v>-1.5707963250000001</v>
      </c>
      <c r="O397">
        <f t="shared" si="328"/>
        <v>103.48889344011906</v>
      </c>
      <c r="P397">
        <f t="shared" si="329"/>
        <v>1.5611333037470765</v>
      </c>
      <c r="Q397">
        <f t="shared" si="330"/>
        <v>108.8905217864052</v>
      </c>
      <c r="R397">
        <f t="shared" si="331"/>
        <v>1.5616126619510771</v>
      </c>
      <c r="S397">
        <f t="shared" si="332"/>
        <v>0.97505014247455879</v>
      </c>
      <c r="T397">
        <f t="shared" si="333"/>
        <v>-0.22384951470475045</v>
      </c>
      <c r="U397">
        <f t="shared" si="334"/>
        <v>0.18058461616322824</v>
      </c>
      <c r="V397">
        <f t="shared" si="335"/>
        <v>-1.3892155197118379</v>
      </c>
      <c r="X397">
        <f t="shared" si="352"/>
        <v>-45.999922310120823</v>
      </c>
      <c r="Y397">
        <f t="shared" si="336"/>
        <v>-153.17624127106671</v>
      </c>
      <c r="Z397">
        <f t="shared" si="353"/>
        <v>26.823758728933285</v>
      </c>
      <c r="AC397">
        <v>1</v>
      </c>
      <c r="AD397">
        <f t="shared" si="337"/>
        <v>103.484061891</v>
      </c>
      <c r="AE397">
        <f t="shared" si="338"/>
        <v>-0.59494172585890681</v>
      </c>
      <c r="AF397">
        <f t="shared" si="339"/>
        <v>0.1092331764405</v>
      </c>
      <c r="AG397">
        <f t="shared" si="315"/>
        <v>29.268422062941337</v>
      </c>
      <c r="AH397">
        <f t="shared" si="316"/>
        <v>-168.56605415409581</v>
      </c>
      <c r="AJ397">
        <f t="shared" si="340"/>
        <v>10500</v>
      </c>
      <c r="AK397">
        <f t="shared" si="341"/>
        <v>2390.4818296820999</v>
      </c>
      <c r="AL397">
        <v>1</v>
      </c>
      <c r="AM397">
        <f t="shared" si="342"/>
        <v>108.88592992171021</v>
      </c>
      <c r="AN397">
        <f t="shared" si="317"/>
        <v>22.837691552402475</v>
      </c>
      <c r="AO397">
        <f t="shared" si="318"/>
        <v>-96.221452266429225</v>
      </c>
      <c r="AQ397">
        <f t="shared" si="343"/>
        <v>2.9860542309253094E-3</v>
      </c>
      <c r="AR397">
        <f t="shared" si="344"/>
        <v>-5.4644792425933169</v>
      </c>
      <c r="AT397">
        <f t="shared" si="313"/>
        <v>-921.03830683538399</v>
      </c>
      <c r="AU397">
        <f t="shared" si="314"/>
        <v>-160.4400322056004</v>
      </c>
      <c r="AV397">
        <f t="shared" si="354"/>
        <v>-2.9691284215215137</v>
      </c>
      <c r="AW397">
        <f t="shared" si="355"/>
        <v>-481.40144407037258</v>
      </c>
      <c r="AX397">
        <f t="shared" si="356"/>
        <v>-393.20387514573298</v>
      </c>
      <c r="AY397">
        <f t="shared" si="364"/>
        <v>-2.4566974373531481</v>
      </c>
      <c r="BA397">
        <f t="shared" si="345"/>
        <v>1.5040926437277904</v>
      </c>
      <c r="BB397">
        <f t="shared" si="357"/>
        <v>3.5454917440037108</v>
      </c>
      <c r="BC397">
        <f t="shared" si="358"/>
        <v>-0.51243098416836563</v>
      </c>
      <c r="BD397">
        <f t="shared" si="346"/>
        <v>-209.3601327181313</v>
      </c>
      <c r="BF397">
        <f t="shared" si="347"/>
        <v>-47.215383780014264</v>
      </c>
      <c r="BG397">
        <f t="shared" si="348"/>
        <v>-179.03471986185014</v>
      </c>
      <c r="BH397">
        <f t="shared" si="359"/>
        <v>0.9652801381498648</v>
      </c>
      <c r="BI397">
        <f t="shared" si="360"/>
        <v>0.9652801381498648</v>
      </c>
      <c r="BJ397">
        <f t="shared" si="349"/>
        <v>0</v>
      </c>
      <c r="BK397">
        <f t="shared" si="361"/>
        <v>0</v>
      </c>
      <c r="BM397">
        <f t="shared" si="362"/>
        <v>-50.760875524017976</v>
      </c>
      <c r="BN397">
        <f t="shared" si="350"/>
        <v>-149.67458714371884</v>
      </c>
      <c r="BQ397" s="56">
        <f t="shared" si="363"/>
        <v>20.447452544288851</v>
      </c>
      <c r="BR397" s="59"/>
      <c r="BS397" s="59"/>
      <c r="BT397" s="59">
        <v>741310.24100000004</v>
      </c>
      <c r="BU397" s="59">
        <v>8.6150300000000009</v>
      </c>
      <c r="BV397" s="59">
        <v>107.324</v>
      </c>
      <c r="BY397" s="59"/>
      <c r="BZ397" s="59"/>
      <c r="CA397" s="59"/>
      <c r="CC397" s="59"/>
    </row>
    <row r="398" spans="1:81" x14ac:dyDescent="0.2">
      <c r="A398">
        <f t="shared" si="319"/>
        <v>920000</v>
      </c>
      <c r="B398">
        <f t="shared" si="351"/>
        <v>920</v>
      </c>
      <c r="C398">
        <f t="shared" si="320"/>
        <v>1.1550520879335477</v>
      </c>
      <c r="D398">
        <f t="shared" si="321"/>
        <v>0.52412569900819306</v>
      </c>
      <c r="F398">
        <f t="shared" si="322"/>
        <v>1.6562260235513857E-4</v>
      </c>
      <c r="G398">
        <f t="shared" si="323"/>
        <v>7.4697368428779422E-3</v>
      </c>
      <c r="H398">
        <f t="shared" si="324"/>
        <v>-3.1341229131571224</v>
      </c>
      <c r="J398">
        <f t="shared" si="325"/>
        <v>15</v>
      </c>
      <c r="M398">
        <f t="shared" si="326"/>
        <v>8.6714036871393912E-4</v>
      </c>
      <c r="N398">
        <f t="shared" si="327"/>
        <v>-1.5707963250000001</v>
      </c>
      <c r="O398">
        <f t="shared" si="328"/>
        <v>104.05435385991588</v>
      </c>
      <c r="P398">
        <f t="shared" si="329"/>
        <v>1.5611858169342316</v>
      </c>
      <c r="Q398">
        <f t="shared" si="330"/>
        <v>109.48550191320201</v>
      </c>
      <c r="R398">
        <f t="shared" si="331"/>
        <v>1.5616625703896043</v>
      </c>
      <c r="S398">
        <f t="shared" si="332"/>
        <v>0.97478697562419303</v>
      </c>
      <c r="T398">
        <f t="shared" si="333"/>
        <v>-0.22503196209543455</v>
      </c>
      <c r="U398">
        <f t="shared" si="334"/>
        <v>0.17963493149536247</v>
      </c>
      <c r="V398">
        <f t="shared" si="335"/>
        <v>-1.3901809932763303</v>
      </c>
      <c r="X398">
        <f t="shared" si="352"/>
        <v>-46.083615630336084</v>
      </c>
      <c r="Y398">
        <f t="shared" si="336"/>
        <v>-153.16067768857127</v>
      </c>
      <c r="Z398">
        <f t="shared" si="353"/>
        <v>26.839322311428731</v>
      </c>
      <c r="AC398">
        <v>1</v>
      </c>
      <c r="AD398">
        <f t="shared" si="337"/>
        <v>104.04954856800001</v>
      </c>
      <c r="AE398">
        <f t="shared" si="338"/>
        <v>-0.60146158651136639</v>
      </c>
      <c r="AF398">
        <f t="shared" si="339"/>
        <v>0.109830079044</v>
      </c>
      <c r="AG398">
        <f t="shared" si="315"/>
        <v>28.961389447987006</v>
      </c>
      <c r="AH398">
        <f t="shared" si="316"/>
        <v>-167.70600008018519</v>
      </c>
      <c r="AJ398">
        <f t="shared" si="340"/>
        <v>10500</v>
      </c>
      <c r="AK398">
        <f t="shared" si="341"/>
        <v>2403.5445719208001</v>
      </c>
      <c r="AL398">
        <v>1</v>
      </c>
      <c r="AM398">
        <f t="shared" si="342"/>
        <v>109.4809350032496</v>
      </c>
      <c r="AN398">
        <f t="shared" si="317"/>
        <v>22.828113122409533</v>
      </c>
      <c r="AO398">
        <f t="shared" si="318"/>
        <v>-95.698597080547472</v>
      </c>
      <c r="AQ398">
        <f t="shared" si="343"/>
        <v>2.9536853279521127E-3</v>
      </c>
      <c r="AR398">
        <f t="shared" si="344"/>
        <v>-5.4347810034318869</v>
      </c>
      <c r="AT398">
        <f t="shared" si="313"/>
        <v>-911.35984056624739</v>
      </c>
      <c r="AU398">
        <f t="shared" si="314"/>
        <v>-157.89415995675887</v>
      </c>
      <c r="AV398">
        <f t="shared" si="354"/>
        <v>-2.970044351724531</v>
      </c>
      <c r="AW398">
        <f t="shared" si="355"/>
        <v>-475.93803536283212</v>
      </c>
      <c r="AX398">
        <f t="shared" si="356"/>
        <v>-391.05304418510707</v>
      </c>
      <c r="AY398">
        <f t="shared" si="364"/>
        <v>-2.453791005051952</v>
      </c>
      <c r="BA398">
        <f t="shared" si="345"/>
        <v>1.5015527657150862</v>
      </c>
      <c r="BB398">
        <f t="shared" si="357"/>
        <v>3.5308119648824881</v>
      </c>
      <c r="BC398">
        <f t="shared" si="358"/>
        <v>-0.51625334667257894</v>
      </c>
      <c r="BD398">
        <f t="shared" si="346"/>
        <v>-209.57913795764202</v>
      </c>
      <c r="BF398">
        <f t="shared" si="347"/>
        <v>-47.312939379189856</v>
      </c>
      <c r="BG398">
        <f t="shared" si="348"/>
        <v>-179.12096304015463</v>
      </c>
      <c r="BH398">
        <f t="shared" si="359"/>
        <v>0.87903695984536512</v>
      </c>
      <c r="BI398">
        <f t="shared" si="360"/>
        <v>0.87903695984536512</v>
      </c>
      <c r="BJ398">
        <f t="shared" si="349"/>
        <v>0</v>
      </c>
      <c r="BK398">
        <f t="shared" si="361"/>
        <v>0</v>
      </c>
      <c r="BM398">
        <f t="shared" si="362"/>
        <v>-50.843751344072345</v>
      </c>
      <c r="BN398">
        <f t="shared" si="350"/>
        <v>-149.54182508251262</v>
      </c>
      <c r="BQ398" s="56">
        <f t="shared" si="363"/>
        <v>20.432772765167627</v>
      </c>
      <c r="BR398" s="59"/>
      <c r="BS398" s="59"/>
      <c r="BT398" s="59">
        <v>758577.57499999995</v>
      </c>
      <c r="BU398" s="59">
        <v>8.3056699999999992</v>
      </c>
      <c r="BV398" s="59">
        <v>105.50700000000001</v>
      </c>
      <c r="BY398" s="59"/>
      <c r="BZ398" s="59"/>
      <c r="CA398" s="59"/>
      <c r="CC398" s="59"/>
    </row>
    <row r="399" spans="1:81" x14ac:dyDescent="0.2">
      <c r="A399">
        <f t="shared" si="319"/>
        <v>925000</v>
      </c>
      <c r="B399">
        <f t="shared" si="351"/>
        <v>925</v>
      </c>
      <c r="C399">
        <f t="shared" si="320"/>
        <v>1.1566275156053165</v>
      </c>
      <c r="D399">
        <f t="shared" si="321"/>
        <v>0.52647725423773772</v>
      </c>
      <c r="F399">
        <f t="shared" si="322"/>
        <v>1.6383667784113722E-4</v>
      </c>
      <c r="G399">
        <f t="shared" si="323"/>
        <v>7.4293478451230169E-3</v>
      </c>
      <c r="H399">
        <f t="shared" si="324"/>
        <v>-3.1341633021548772</v>
      </c>
      <c r="J399">
        <f t="shared" si="325"/>
        <v>15</v>
      </c>
      <c r="M399">
        <f t="shared" si="326"/>
        <v>8.624531234776476E-4</v>
      </c>
      <c r="N399">
        <f t="shared" si="327"/>
        <v>-1.5707963250000001</v>
      </c>
      <c r="O399">
        <f t="shared" si="328"/>
        <v>104.61981456355478</v>
      </c>
      <c r="P399">
        <f t="shared" si="329"/>
        <v>1.5612377624634062</v>
      </c>
      <c r="Q399">
        <f t="shared" si="330"/>
        <v>110.08048230976306</v>
      </c>
      <c r="R399">
        <f t="shared" si="331"/>
        <v>1.5617119393222136</v>
      </c>
      <c r="S399">
        <f t="shared" si="332"/>
        <v>0.97452258933750568</v>
      </c>
      <c r="T399">
        <f t="shared" si="333"/>
        <v>-0.22621376971992235</v>
      </c>
      <c r="U399">
        <f t="shared" si="334"/>
        <v>0.17869501928885642</v>
      </c>
      <c r="V399">
        <f t="shared" si="335"/>
        <v>-1.391136364339145</v>
      </c>
      <c r="X399">
        <f t="shared" si="352"/>
        <v>-46.16679921816926</v>
      </c>
      <c r="Y399">
        <f t="shared" si="336"/>
        <v>-153.14490404550241</v>
      </c>
      <c r="Z399">
        <f t="shared" si="353"/>
        <v>26.855095954497585</v>
      </c>
      <c r="AC399">
        <v>1</v>
      </c>
      <c r="AD399">
        <f t="shared" si="337"/>
        <v>104.61503524500002</v>
      </c>
      <c r="AE399">
        <f t="shared" si="338"/>
        <v>-0.60801697773958863</v>
      </c>
      <c r="AF399">
        <f t="shared" si="339"/>
        <v>0.11042698164749999</v>
      </c>
      <c r="AG399">
        <f t="shared" si="315"/>
        <v>28.65911028709391</v>
      </c>
      <c r="AH399">
        <f t="shared" si="316"/>
        <v>-166.85438057412961</v>
      </c>
      <c r="AJ399">
        <f t="shared" si="340"/>
        <v>10500</v>
      </c>
      <c r="AK399">
        <f t="shared" si="341"/>
        <v>2416.6073141595002</v>
      </c>
      <c r="AL399">
        <v>1</v>
      </c>
      <c r="AM399">
        <f t="shared" si="342"/>
        <v>110.07594008478901</v>
      </c>
      <c r="AN399">
        <f t="shared" si="317"/>
        <v>22.818689581036335</v>
      </c>
      <c r="AO399">
        <f t="shared" si="318"/>
        <v>-95.181392976054795</v>
      </c>
      <c r="AQ399">
        <f t="shared" si="343"/>
        <v>2.9218399059635046E-3</v>
      </c>
      <c r="AR399">
        <f t="shared" si="344"/>
        <v>-5.405403826032483</v>
      </c>
      <c r="AT399">
        <f t="shared" si="313"/>
        <v>-901.83156981357399</v>
      </c>
      <c r="AU399">
        <f t="shared" si="314"/>
        <v>-155.40158618419062</v>
      </c>
      <c r="AV399">
        <f t="shared" si="354"/>
        <v>-2.9709507149776373</v>
      </c>
      <c r="AW399">
        <f t="shared" si="355"/>
        <v>-470.56312784686418</v>
      </c>
      <c r="AX399">
        <f t="shared" si="356"/>
        <v>-388.92571648593702</v>
      </c>
      <c r="AY399">
        <f t="shared" si="364"/>
        <v>-2.4508940598287872</v>
      </c>
      <c r="BA399">
        <f t="shared" si="345"/>
        <v>1.4990076800475491</v>
      </c>
      <c r="BB399">
        <f t="shared" si="357"/>
        <v>3.5160771585496722</v>
      </c>
      <c r="BC399">
        <f t="shared" si="358"/>
        <v>-0.52005665514885013</v>
      </c>
      <c r="BD399">
        <f t="shared" si="346"/>
        <v>-209.79705148176771</v>
      </c>
      <c r="BF399">
        <f t="shared" si="347"/>
        <v>-47.410004603782269</v>
      </c>
      <c r="BG399">
        <f t="shared" si="348"/>
        <v>-179.20645649329427</v>
      </c>
      <c r="BH399">
        <f t="shared" si="359"/>
        <v>0.79354350670573126</v>
      </c>
      <c r="BI399">
        <f t="shared" si="360"/>
        <v>0.79354350670573126</v>
      </c>
      <c r="BJ399">
        <f t="shared" si="349"/>
        <v>0</v>
      </c>
      <c r="BK399">
        <f t="shared" si="361"/>
        <v>0</v>
      </c>
      <c r="BM399">
        <f t="shared" si="362"/>
        <v>-50.926081762331933</v>
      </c>
      <c r="BN399">
        <f t="shared" si="350"/>
        <v>-149.40940501152659</v>
      </c>
      <c r="BQ399" s="56">
        <f t="shared" si="363"/>
        <v>20.418037958834809</v>
      </c>
      <c r="BR399" s="59"/>
      <c r="BS399" s="59"/>
      <c r="BT399" s="59">
        <v>776247.11699999997</v>
      </c>
      <c r="BU399" s="59">
        <v>7.9999099999999999</v>
      </c>
      <c r="BV399" s="59">
        <v>105.28700000000001</v>
      </c>
      <c r="BY399" s="59"/>
      <c r="BZ399" s="59"/>
      <c r="CA399" s="59"/>
      <c r="CC399" s="59"/>
    </row>
    <row r="400" spans="1:81" x14ac:dyDescent="0.2">
      <c r="A400">
        <f t="shared" si="319"/>
        <v>930000</v>
      </c>
      <c r="B400">
        <f t="shared" si="351"/>
        <v>930</v>
      </c>
      <c r="C400">
        <f t="shared" si="320"/>
        <v>1.1582093217893574</v>
      </c>
      <c r="D400">
        <f t="shared" si="321"/>
        <v>0.52882239920682772</v>
      </c>
      <c r="F400">
        <f t="shared" si="322"/>
        <v>1.6207948635853234E-4</v>
      </c>
      <c r="G400">
        <f t="shared" si="323"/>
        <v>7.3893933303589869E-3</v>
      </c>
      <c r="H400">
        <f t="shared" si="324"/>
        <v>-3.1342032566696414</v>
      </c>
      <c r="J400">
        <f t="shared" si="325"/>
        <v>15</v>
      </c>
      <c r="M400">
        <f t="shared" si="326"/>
        <v>8.5781627872776782E-4</v>
      </c>
      <c r="N400">
        <f t="shared" si="327"/>
        <v>-1.5707963250000001</v>
      </c>
      <c r="O400">
        <f t="shared" si="328"/>
        <v>105.18527554645813</v>
      </c>
      <c r="P400">
        <f t="shared" si="329"/>
        <v>1.5612891494892618</v>
      </c>
      <c r="Q400">
        <f t="shared" si="330"/>
        <v>110.67546297173762</v>
      </c>
      <c r="R400">
        <f t="shared" si="331"/>
        <v>1.561760777449658</v>
      </c>
      <c r="S400">
        <f t="shared" si="332"/>
        <v>0.97425698682110207</v>
      </c>
      <c r="T400">
        <f t="shared" si="333"/>
        <v>-0.22739493479879208</v>
      </c>
      <c r="U400">
        <f t="shared" si="334"/>
        <v>0.1777647320511527</v>
      </c>
      <c r="V400">
        <f t="shared" si="335"/>
        <v>-1.3920817889235608</v>
      </c>
      <c r="X400">
        <f t="shared" si="352"/>
        <v>-46.249478435380141</v>
      </c>
      <c r="Y400">
        <f t="shared" si="336"/>
        <v>-153.12892849565469</v>
      </c>
      <c r="Z400">
        <f t="shared" si="353"/>
        <v>26.871071504345309</v>
      </c>
      <c r="AC400">
        <v>1</v>
      </c>
      <c r="AD400">
        <f t="shared" si="337"/>
        <v>105.18052192200003</v>
      </c>
      <c r="AE400">
        <f t="shared" si="338"/>
        <v>-0.61460789954357375</v>
      </c>
      <c r="AF400">
        <f t="shared" si="339"/>
        <v>0.111023884251</v>
      </c>
      <c r="AG400">
        <f t="shared" si="315"/>
        <v>28.361488053835618</v>
      </c>
      <c r="AH400">
        <f t="shared" si="316"/>
        <v>-166.01107703122048</v>
      </c>
      <c r="AJ400">
        <f t="shared" si="340"/>
        <v>10500</v>
      </c>
      <c r="AK400">
        <f t="shared" si="341"/>
        <v>2429.6700563982004</v>
      </c>
      <c r="AL400">
        <v>1</v>
      </c>
      <c r="AM400">
        <f t="shared" si="342"/>
        <v>110.67094516632842</v>
      </c>
      <c r="AN400">
        <f t="shared" si="317"/>
        <v>22.809417606769653</v>
      </c>
      <c r="AO400">
        <f t="shared" si="318"/>
        <v>-94.669748836489632</v>
      </c>
      <c r="AQ400">
        <f t="shared" si="343"/>
        <v>2.8905067376266799E-3</v>
      </c>
      <c r="AR400">
        <f t="shared" si="344"/>
        <v>-5.3763425319856246</v>
      </c>
      <c r="AT400">
        <f t="shared" si="313"/>
        <v>-892.45043515138377</v>
      </c>
      <c r="AU400">
        <f t="shared" si="314"/>
        <v>-152.96093063091806</v>
      </c>
      <c r="AV400">
        <f t="shared" si="354"/>
        <v>-2.9718476586672913</v>
      </c>
      <c r="AW400">
        <f t="shared" si="355"/>
        <v>-465.27481969696248</v>
      </c>
      <c r="AX400">
        <f t="shared" si="356"/>
        <v>-386.82150689068908</v>
      </c>
      <c r="AY400">
        <f t="shared" si="364"/>
        <v>-2.4480065854651016</v>
      </c>
      <c r="BA400">
        <f t="shared" si="345"/>
        <v>1.4964576143710904</v>
      </c>
      <c r="BB400">
        <f t="shared" si="357"/>
        <v>3.5012884080823508</v>
      </c>
      <c r="BC400">
        <f t="shared" si="358"/>
        <v>-0.52384107320218964</v>
      </c>
      <c r="BD400">
        <f t="shared" si="346"/>
        <v>-210.01388266438494</v>
      </c>
      <c r="BF400">
        <f t="shared" si="347"/>
        <v>-47.506584256467448</v>
      </c>
      <c r="BG400">
        <f t="shared" si="348"/>
        <v>-179.29120999175387</v>
      </c>
      <c r="BH400">
        <f t="shared" si="359"/>
        <v>0.70879000824612604</v>
      </c>
      <c r="BI400">
        <f t="shared" si="360"/>
        <v>0.70879000824612604</v>
      </c>
      <c r="BJ400">
        <f t="shared" si="349"/>
        <v>0</v>
      </c>
      <c r="BK400">
        <f t="shared" si="361"/>
        <v>0</v>
      </c>
      <c r="BM400">
        <f t="shared" si="362"/>
        <v>-51.007872664549794</v>
      </c>
      <c r="BN400">
        <f t="shared" si="350"/>
        <v>-149.27732732736897</v>
      </c>
      <c r="BQ400" s="56">
        <f t="shared" si="363"/>
        <v>20.403249208367487</v>
      </c>
      <c r="BR400" s="59"/>
      <c r="BS400" s="59"/>
      <c r="BT400" s="59">
        <v>794328.23499999999</v>
      </c>
      <c r="BU400" s="59">
        <v>7.7399399999999998</v>
      </c>
      <c r="BV400" s="59">
        <v>105.286</v>
      </c>
      <c r="BY400" s="59"/>
      <c r="BZ400" s="59"/>
      <c r="CA400" s="59"/>
      <c r="CC400" s="59"/>
    </row>
    <row r="401" spans="1:81" x14ac:dyDescent="0.2">
      <c r="A401">
        <f t="shared" si="319"/>
        <v>935000</v>
      </c>
      <c r="B401">
        <f t="shared" si="351"/>
        <v>935</v>
      </c>
      <c r="C401">
        <f t="shared" si="320"/>
        <v>1.1597974803873978</v>
      </c>
      <c r="D401">
        <f t="shared" si="321"/>
        <v>0.53116113440122936</v>
      </c>
      <c r="F401">
        <f t="shared" si="322"/>
        <v>1.6035041480309389E-4</v>
      </c>
      <c r="G401">
        <f t="shared" si="323"/>
        <v>7.349866324180881E-3</v>
      </c>
      <c r="H401">
        <f t="shared" si="324"/>
        <v>-3.1342427836758193</v>
      </c>
      <c r="J401">
        <f t="shared" si="325"/>
        <v>15</v>
      </c>
      <c r="M401">
        <f t="shared" si="326"/>
        <v>8.5322902590034648E-4</v>
      </c>
      <c r="N401">
        <f t="shared" si="327"/>
        <v>-1.5707963250000001</v>
      </c>
      <c r="O401">
        <f t="shared" si="328"/>
        <v>105.7507368041461</v>
      </c>
      <c r="P401">
        <f t="shared" si="329"/>
        <v>1.5613399869706674</v>
      </c>
      <c r="Q401">
        <f t="shared" si="330"/>
        <v>111.27044389486812</v>
      </c>
      <c r="R401">
        <f t="shared" si="331"/>
        <v>1.561809093286604</v>
      </c>
      <c r="S401">
        <f t="shared" si="332"/>
        <v>0.97399017129156451</v>
      </c>
      <c r="T401">
        <f t="shared" si="333"/>
        <v>-0.228575454562815</v>
      </c>
      <c r="U401">
        <f t="shared" si="334"/>
        <v>0.17684392518872752</v>
      </c>
      <c r="V401">
        <f t="shared" si="335"/>
        <v>-1.3930174198920682</v>
      </c>
      <c r="X401">
        <f t="shared" si="352"/>
        <v>-46.331658566128759</v>
      </c>
      <c r="Y401">
        <f t="shared" si="336"/>
        <v>-153.11275900935033</v>
      </c>
      <c r="Z401">
        <f t="shared" si="353"/>
        <v>26.887240990649673</v>
      </c>
      <c r="AC401">
        <v>1</v>
      </c>
      <c r="AD401">
        <f t="shared" si="337"/>
        <v>105.74600859900002</v>
      </c>
      <c r="AE401">
        <f t="shared" si="338"/>
        <v>-0.62123435192332122</v>
      </c>
      <c r="AF401">
        <f t="shared" si="339"/>
        <v>0.1116207868545</v>
      </c>
      <c r="AG401">
        <f t="shared" si="315"/>
        <v>28.068428631231654</v>
      </c>
      <c r="AH401">
        <f t="shared" si="316"/>
        <v>-165.17597295082945</v>
      </c>
      <c r="AJ401">
        <f t="shared" si="340"/>
        <v>10500</v>
      </c>
      <c r="AK401">
        <f t="shared" si="341"/>
        <v>2442.7327986369005</v>
      </c>
      <c r="AL401">
        <v>1</v>
      </c>
      <c r="AM401">
        <f t="shared" si="342"/>
        <v>111.26595024786781</v>
      </c>
      <c r="AN401">
        <f t="shared" si="317"/>
        <v>22.800293966654234</v>
      </c>
      <c r="AO401">
        <f t="shared" si="318"/>
        <v>-94.163575493609912</v>
      </c>
      <c r="AQ401">
        <f t="shared" si="343"/>
        <v>2.8596748949998871E-3</v>
      </c>
      <c r="AR401">
        <f t="shared" si="344"/>
        <v>-5.3475920536497892</v>
      </c>
      <c r="AT401">
        <f t="shared" si="313"/>
        <v>-883.21345382502932</v>
      </c>
      <c r="AU401">
        <f t="shared" si="314"/>
        <v>-150.57085548991529</v>
      </c>
      <c r="AV401">
        <f t="shared" si="354"/>
        <v>-2.9727353272038797</v>
      </c>
      <c r="AW401">
        <f t="shared" si="355"/>
        <v>-460.07125991409532</v>
      </c>
      <c r="AX401">
        <f t="shared" si="356"/>
        <v>-384.74003866321681</v>
      </c>
      <c r="AY401">
        <f t="shared" si="364"/>
        <v>-2.4451285652868364</v>
      </c>
      <c r="BA401">
        <f t="shared" si="345"/>
        <v>1.4939027919071191</v>
      </c>
      <c r="BB401">
        <f t="shared" si="357"/>
        <v>3.4864467780771502</v>
      </c>
      <c r="BC401">
        <f t="shared" si="358"/>
        <v>-0.52760676191704325</v>
      </c>
      <c r="BD401">
        <f t="shared" si="346"/>
        <v>-210.22964073495262</v>
      </c>
      <c r="BF401">
        <f t="shared" si="347"/>
        <v>-47.602683067839244</v>
      </c>
      <c r="BG401">
        <f t="shared" si="348"/>
        <v>-179.37523313676391</v>
      </c>
      <c r="BH401">
        <f t="shared" si="359"/>
        <v>0.62476686323608988</v>
      </c>
      <c r="BI401">
        <f t="shared" si="360"/>
        <v>0.62476686323608988</v>
      </c>
      <c r="BJ401">
        <f t="shared" si="349"/>
        <v>0</v>
      </c>
      <c r="BK401">
        <f t="shared" si="361"/>
        <v>0</v>
      </c>
      <c r="BM401">
        <f t="shared" si="362"/>
        <v>-51.089129845916396</v>
      </c>
      <c r="BN401">
        <f t="shared" si="350"/>
        <v>-149.14559240181129</v>
      </c>
      <c r="BQ401" s="56">
        <f t="shared" si="363"/>
        <v>20.38840757836229</v>
      </c>
      <c r="BR401" s="59"/>
      <c r="BS401" s="59"/>
      <c r="BT401" s="59">
        <v>812830.51599999995</v>
      </c>
      <c r="BU401" s="59">
        <v>7.5259600000000004</v>
      </c>
      <c r="BV401" s="59">
        <v>105.187</v>
      </c>
      <c r="BY401" s="59"/>
      <c r="BZ401" s="59"/>
      <c r="CA401" s="59"/>
      <c r="CC401" s="59"/>
    </row>
    <row r="402" spans="1:81" x14ac:dyDescent="0.2">
      <c r="A402">
        <f t="shared" si="319"/>
        <v>940000</v>
      </c>
      <c r="B402">
        <f t="shared" si="351"/>
        <v>940</v>
      </c>
      <c r="C402">
        <f t="shared" si="320"/>
        <v>1.1613919653393967</v>
      </c>
      <c r="D402">
        <f t="shared" si="321"/>
        <v>0.53349346058453129</v>
      </c>
      <c r="F402">
        <f t="shared" si="322"/>
        <v>1.5864886633750038E-4</v>
      </c>
      <c r="G402">
        <f t="shared" si="323"/>
        <v>7.3107600006832455E-3</v>
      </c>
      <c r="H402">
        <f t="shared" si="324"/>
        <v>-3.134281889999317</v>
      </c>
      <c r="J402">
        <f t="shared" si="325"/>
        <v>15</v>
      </c>
      <c r="M402">
        <f t="shared" si="326"/>
        <v>8.4869057363491922E-4</v>
      </c>
      <c r="N402">
        <f t="shared" si="327"/>
        <v>-1.5707963250000001</v>
      </c>
      <c r="O402">
        <f t="shared" si="328"/>
        <v>106.31619833223424</v>
      </c>
      <c r="P402">
        <f t="shared" si="329"/>
        <v>1.5613902836759068</v>
      </c>
      <c r="Q402">
        <f t="shared" si="330"/>
        <v>111.86542507498746</v>
      </c>
      <c r="R402">
        <f t="shared" si="331"/>
        <v>1.5618568951665794</v>
      </c>
      <c r="S402">
        <f t="shared" si="332"/>
        <v>0.97372214597535034</v>
      </c>
      <c r="T402">
        <f t="shared" si="333"/>
        <v>-0.22975532625298206</v>
      </c>
      <c r="U402">
        <f t="shared" si="334"/>
        <v>0.17593245693764309</v>
      </c>
      <c r="V402">
        <f t="shared" si="335"/>
        <v>-1.3939434070250869</v>
      </c>
      <c r="X402">
        <f t="shared" si="352"/>
        <v>-46.413344818463813</v>
      </c>
      <c r="Y402">
        <f t="shared" si="336"/>
        <v>-153.09640337777921</v>
      </c>
      <c r="Z402">
        <f t="shared" si="353"/>
        <v>26.903596622220789</v>
      </c>
      <c r="AC402">
        <v>1</v>
      </c>
      <c r="AD402">
        <f t="shared" si="337"/>
        <v>106.31149527600002</v>
      </c>
      <c r="AE402">
        <f t="shared" si="338"/>
        <v>-0.62789633487883179</v>
      </c>
      <c r="AF402">
        <f t="shared" si="339"/>
        <v>0.11221768945799999</v>
      </c>
      <c r="AG402">
        <f t="shared" si="315"/>
        <v>27.779840240812923</v>
      </c>
      <c r="AH402">
        <f t="shared" si="316"/>
        <v>-164.3489538931255</v>
      </c>
      <c r="AJ402">
        <f t="shared" si="340"/>
        <v>10500</v>
      </c>
      <c r="AK402">
        <f t="shared" si="341"/>
        <v>2455.7955408756002</v>
      </c>
      <c r="AL402">
        <v>1</v>
      </c>
      <c r="AM402">
        <f t="shared" si="342"/>
        <v>111.8609553294072</v>
      </c>
      <c r="AN402">
        <f t="shared" si="317"/>
        <v>22.791315513474565</v>
      </c>
      <c r="AO402">
        <f t="shared" si="318"/>
        <v>-93.662785675603516</v>
      </c>
      <c r="AQ402">
        <f t="shared" si="343"/>
        <v>2.829333740002903E-3</v>
      </c>
      <c r="AR402">
        <f t="shared" si="344"/>
        <v>-5.3191474312054572</v>
      </c>
      <c r="AT402">
        <f t="shared" si="313"/>
        <v>-874.11771748263743</v>
      </c>
      <c r="AU402">
        <f t="shared" si="314"/>
        <v>-148.23006389660205</v>
      </c>
      <c r="AV402">
        <f t="shared" si="354"/>
        <v>-2.9736138620955219</v>
      </c>
      <c r="AW402">
        <f t="shared" si="355"/>
        <v>-454.9506467040145</v>
      </c>
      <c r="AX402">
        <f t="shared" si="356"/>
        <v>-382.68094325824768</v>
      </c>
      <c r="AY402">
        <f t="shared" si="364"/>
        <v>-2.4422599821754249</v>
      </c>
      <c r="BA402">
        <f t="shared" si="345"/>
        <v>1.4913434315471965</v>
      </c>
      <c r="BB402">
        <f t="shared" si="357"/>
        <v>3.4715533150841886</v>
      </c>
      <c r="BC402">
        <f t="shared" si="358"/>
        <v>-0.53135387992009697</v>
      </c>
      <c r="BD402">
        <f t="shared" si="346"/>
        <v>-210.44433478211042</v>
      </c>
      <c r="BF402">
        <f t="shared" si="347"/>
        <v>-47.698305697863077</v>
      </c>
      <c r="BG402">
        <f t="shared" si="348"/>
        <v>-179.45853536430917</v>
      </c>
      <c r="BH402">
        <f t="shared" si="359"/>
        <v>0.54146463569082925</v>
      </c>
      <c r="BI402">
        <f t="shared" si="360"/>
        <v>0.54146463569082925</v>
      </c>
      <c r="BJ402">
        <f t="shared" si="349"/>
        <v>0</v>
      </c>
      <c r="BK402">
        <f t="shared" si="361"/>
        <v>0</v>
      </c>
      <c r="BM402">
        <f t="shared" si="362"/>
        <v>-51.169859012947263</v>
      </c>
      <c r="BN402">
        <f t="shared" si="350"/>
        <v>-149.01420058219878</v>
      </c>
      <c r="BQ402" s="56">
        <f t="shared" si="363"/>
        <v>20.373514115369325</v>
      </c>
      <c r="BR402" s="59"/>
      <c r="BS402" s="59"/>
      <c r="BT402" s="59">
        <v>831763.77099999995</v>
      </c>
      <c r="BU402" s="59">
        <v>7.3913599999999997</v>
      </c>
      <c r="BV402" s="59">
        <v>104.541</v>
      </c>
      <c r="BY402" s="59"/>
      <c r="BZ402" s="59"/>
      <c r="CA402" s="59"/>
      <c r="CC402" s="59"/>
    </row>
    <row r="403" spans="1:81" x14ac:dyDescent="0.2">
      <c r="A403">
        <f t="shared" si="319"/>
        <v>945000</v>
      </c>
      <c r="B403">
        <f t="shared" si="351"/>
        <v>945</v>
      </c>
      <c r="C403">
        <f t="shared" si="320"/>
        <v>1.1629927506247035</v>
      </c>
      <c r="D403">
        <f t="shared" si="321"/>
        <v>0.5358193787950486</v>
      </c>
      <c r="F403">
        <f t="shared" si="322"/>
        <v>1.5697425987613796E-4</v>
      </c>
      <c r="G403">
        <f t="shared" si="323"/>
        <v>7.2720676785281921E-3</v>
      </c>
      <c r="H403">
        <f t="shared" si="324"/>
        <v>-3.1343205823214721</v>
      </c>
      <c r="J403">
        <f t="shared" si="325"/>
        <v>15</v>
      </c>
      <c r="M403">
        <f t="shared" si="326"/>
        <v>8.4420014731939055E-4</v>
      </c>
      <c r="N403">
        <f t="shared" si="327"/>
        <v>-1.5707963250000001</v>
      </c>
      <c r="O403">
        <f t="shared" si="328"/>
        <v>106.88166012643089</v>
      </c>
      <c r="P403">
        <f t="shared" si="329"/>
        <v>1.5614400481877189</v>
      </c>
      <c r="Q403">
        <f t="shared" si="330"/>
        <v>112.4604065080168</v>
      </c>
      <c r="R403">
        <f t="shared" si="331"/>
        <v>1.5619041912467644</v>
      </c>
      <c r="S403">
        <f t="shared" si="332"/>
        <v>0.97345291410869295</v>
      </c>
      <c r="T403">
        <f t="shared" si="333"/>
        <v>-0.23093454712052994</v>
      </c>
      <c r="U403">
        <f t="shared" si="334"/>
        <v>0.17503018829604089</v>
      </c>
      <c r="V403">
        <f t="shared" si="335"/>
        <v>-1.3948598970973716</v>
      </c>
      <c r="X403">
        <f t="shared" si="352"/>
        <v>-46.494542325775122</v>
      </c>
      <c r="Y403">
        <f t="shared" si="336"/>
        <v>-153.07986921721744</v>
      </c>
      <c r="Z403">
        <f t="shared" si="353"/>
        <v>26.920130782782564</v>
      </c>
      <c r="AC403">
        <v>1</v>
      </c>
      <c r="AD403">
        <f t="shared" si="337"/>
        <v>106.87698195300001</v>
      </c>
      <c r="AE403">
        <f t="shared" si="338"/>
        <v>-0.63459384841010502</v>
      </c>
      <c r="AF403">
        <f t="shared" si="339"/>
        <v>0.1128145920615</v>
      </c>
      <c r="AG403">
        <f t="shared" si="315"/>
        <v>27.49563337408031</v>
      </c>
      <c r="AH403">
        <f t="shared" si="316"/>
        <v>-163.52990743674235</v>
      </c>
      <c r="AJ403">
        <f t="shared" si="340"/>
        <v>10500</v>
      </c>
      <c r="AK403">
        <f t="shared" si="341"/>
        <v>2468.8582831143003</v>
      </c>
      <c r="AL403">
        <v>1</v>
      </c>
      <c r="AM403">
        <f t="shared" si="342"/>
        <v>112.45596041094662</v>
      </c>
      <c r="AN403">
        <f t="shared" si="317"/>
        <v>22.782479183040724</v>
      </c>
      <c r="AO403">
        <f t="shared" si="318"/>
        <v>-93.167293956942572</v>
      </c>
      <c r="AQ403">
        <f t="shared" si="343"/>
        <v>2.7994729152395186E-3</v>
      </c>
      <c r="AR403">
        <f t="shared" si="344"/>
        <v>-5.2910038098026906</v>
      </c>
      <c r="AT403">
        <f t="shared" si="313"/>
        <v>-865.16038998356703</v>
      </c>
      <c r="AU403">
        <f t="shared" si="314"/>
        <v>-145.93729848189773</v>
      </c>
      <c r="AV403">
        <f t="shared" si="354"/>
        <v>-2.9744834020197191</v>
      </c>
      <c r="AW403">
        <f t="shared" si="355"/>
        <v>-449.91122591562493</v>
      </c>
      <c r="AX403">
        <f t="shared" si="356"/>
        <v>-380.64386009846123</v>
      </c>
      <c r="AY403">
        <f t="shared" si="364"/>
        <v>-2.4394008185785934</v>
      </c>
      <c r="BA403">
        <f t="shared" si="345"/>
        <v>1.4887797479449167</v>
      </c>
      <c r="BB403">
        <f t="shared" si="357"/>
        <v>3.4566090480265959</v>
      </c>
      <c r="BC403">
        <f t="shared" si="358"/>
        <v>-0.53508258344112569</v>
      </c>
      <c r="BD403">
        <f t="shared" si="346"/>
        <v>-210.65797375716505</v>
      </c>
      <c r="BF403">
        <f t="shared" si="347"/>
        <v>-47.793456737293994</v>
      </c>
      <c r="BG403">
        <f t="shared" si="348"/>
        <v>-179.54112594901787</v>
      </c>
      <c r="BH403">
        <f t="shared" si="359"/>
        <v>0.45887405098213208</v>
      </c>
      <c r="BI403">
        <f t="shared" si="360"/>
        <v>0.45887405098213208</v>
      </c>
      <c r="BJ403">
        <f t="shared" si="349"/>
        <v>0</v>
      </c>
      <c r="BK403">
        <f t="shared" si="361"/>
        <v>0</v>
      </c>
      <c r="BM403">
        <f t="shared" si="362"/>
        <v>-51.250065785320594</v>
      </c>
      <c r="BN403">
        <f t="shared" si="350"/>
        <v>-148.88315219185282</v>
      </c>
      <c r="BQ403" s="56">
        <f t="shared" si="363"/>
        <v>20.358569848311735</v>
      </c>
      <c r="BR403" s="59"/>
      <c r="BS403" s="59"/>
      <c r="BT403" s="59">
        <v>851138.03799999994</v>
      </c>
      <c r="BU403" s="59">
        <v>7.3125499999999999</v>
      </c>
      <c r="BV403" s="59">
        <v>103.205</v>
      </c>
      <c r="BY403" s="59"/>
      <c r="BZ403" s="59"/>
      <c r="CA403" s="59"/>
      <c r="CC403" s="59"/>
    </row>
    <row r="404" spans="1:81" x14ac:dyDescent="0.2">
      <c r="A404">
        <f t="shared" si="319"/>
        <v>950000</v>
      </c>
      <c r="B404">
        <f t="shared" si="351"/>
        <v>950</v>
      </c>
      <c r="C404">
        <f t="shared" si="320"/>
        <v>1.1645998102631987</v>
      </c>
      <c r="D404">
        <f t="shared" si="321"/>
        <v>0.53813889034272933</v>
      </c>
      <c r="F404">
        <f t="shared" si="322"/>
        <v>1.5532602958883679E-4</v>
      </c>
      <c r="G404">
        <f t="shared" si="323"/>
        <v>7.233782817137731E-3</v>
      </c>
      <c r="H404">
        <f t="shared" si="324"/>
        <v>-3.1343588671828626</v>
      </c>
      <c r="J404">
        <f t="shared" si="325"/>
        <v>15</v>
      </c>
      <c r="M404">
        <f t="shared" si="326"/>
        <v>8.397569886492884E-4</v>
      </c>
      <c r="N404">
        <f t="shared" si="327"/>
        <v>-1.5707963250000001</v>
      </c>
      <c r="O404">
        <f t="shared" si="328"/>
        <v>107.44712218253467</v>
      </c>
      <c r="P404">
        <f t="shared" si="329"/>
        <v>1.5614892889081793</v>
      </c>
      <c r="Q404">
        <f t="shared" si="330"/>
        <v>113.05538818996315</v>
      </c>
      <c r="R404">
        <f t="shared" si="331"/>
        <v>1.5619509895126316</v>
      </c>
      <c r="S404">
        <f t="shared" si="332"/>
        <v>0.97318247893750243</v>
      </c>
      <c r="T404">
        <f t="shared" si="333"/>
        <v>-0.23211311442696705</v>
      </c>
      <c r="U404">
        <f t="shared" si="334"/>
        <v>0.17413698295851485</v>
      </c>
      <c r="V404">
        <f t="shared" si="335"/>
        <v>-1.3957670339521815</v>
      </c>
      <c r="X404">
        <f t="shared" si="352"/>
        <v>-46.575256148211267</v>
      </c>
      <c r="Y404">
        <f t="shared" si="336"/>
        <v>-153.06316397312835</v>
      </c>
      <c r="Z404">
        <f t="shared" si="353"/>
        <v>26.936836026871646</v>
      </c>
      <c r="AC404">
        <v>1</v>
      </c>
      <c r="AD404">
        <f t="shared" si="337"/>
        <v>107.44246863000002</v>
      </c>
      <c r="AE404">
        <f t="shared" si="338"/>
        <v>-0.64132689251714081</v>
      </c>
      <c r="AF404">
        <f t="shared" si="339"/>
        <v>0.11341149466499999</v>
      </c>
      <c r="AG404">
        <f t="shared" si="315"/>
        <v>27.215720726265051</v>
      </c>
      <c r="AH404">
        <f t="shared" si="316"/>
        <v>-162.71872313737404</v>
      </c>
      <c r="AJ404">
        <f t="shared" si="340"/>
        <v>10500</v>
      </c>
      <c r="AK404">
        <f t="shared" si="341"/>
        <v>2481.9210253530005</v>
      </c>
      <c r="AL404">
        <v>1</v>
      </c>
      <c r="AM404">
        <f t="shared" si="342"/>
        <v>113.05096549248603</v>
      </c>
      <c r="AN404">
        <f t="shared" si="317"/>
        <v>22.773781991573898</v>
      </c>
      <c r="AO404">
        <f t="shared" si="318"/>
        <v>-92.677016709820123</v>
      </c>
      <c r="AQ404">
        <f t="shared" si="343"/>
        <v>2.770082335157248E-3</v>
      </c>
      <c r="AR404">
        <f t="shared" si="344"/>
        <v>-5.2631564367987709</v>
      </c>
      <c r="AT404">
        <f t="shared" si="313"/>
        <v>-856.33870528092484</v>
      </c>
      <c r="AU404">
        <f t="shared" si="314"/>
        <v>-143.69133998312179</v>
      </c>
      <c r="AV404">
        <f t="shared" si="354"/>
        <v>-2.9753440828929199</v>
      </c>
      <c r="AW404">
        <f t="shared" si="355"/>
        <v>-444.95128953687822</v>
      </c>
      <c r="AX404">
        <f t="shared" si="356"/>
        <v>-378.62843635885901</v>
      </c>
      <c r="AY404">
        <f t="shared" si="364"/>
        <v>-2.4365510565209676</v>
      </c>
      <c r="BA404">
        <f t="shared" si="345"/>
        <v>1.4862119516051167</v>
      </c>
      <c r="BB404">
        <f t="shared" si="357"/>
        <v>3.4416149886061618</v>
      </c>
      <c r="BC404">
        <f t="shared" si="358"/>
        <v>-0.53879302637195226</v>
      </c>
      <c r="BD404">
        <f t="shared" si="346"/>
        <v>-210.87056647746849</v>
      </c>
      <c r="BF404">
        <f t="shared" si="347"/>
        <v>-47.888140709060096</v>
      </c>
      <c r="BG404">
        <f t="shared" si="348"/>
        <v>-179.6230140079349</v>
      </c>
      <c r="BH404">
        <f t="shared" si="359"/>
        <v>0.37698599206510153</v>
      </c>
      <c r="BI404">
        <f t="shared" si="360"/>
        <v>0.37698599206510153</v>
      </c>
      <c r="BJ404">
        <f t="shared" si="349"/>
        <v>0</v>
      </c>
      <c r="BK404">
        <f t="shared" si="361"/>
        <v>0</v>
      </c>
      <c r="BM404">
        <f t="shared" si="362"/>
        <v>-51.329755697666258</v>
      </c>
      <c r="BN404">
        <f t="shared" si="350"/>
        <v>-148.75244753046641</v>
      </c>
      <c r="BQ404" s="56">
        <f t="shared" si="363"/>
        <v>20.3435757888913</v>
      </c>
      <c r="BR404" s="59"/>
      <c r="BS404" s="59"/>
      <c r="BT404" s="59">
        <v>870963.59</v>
      </c>
      <c r="BU404" s="59">
        <v>7.1463099999999997</v>
      </c>
      <c r="BV404" s="59">
        <v>103.91</v>
      </c>
      <c r="BY404" s="59"/>
      <c r="BZ404" s="59"/>
      <c r="CA404" s="59"/>
      <c r="CC404" s="59"/>
    </row>
    <row r="405" spans="1:81" x14ac:dyDescent="0.2">
      <c r="A405">
        <f t="shared" si="319"/>
        <v>955000</v>
      </c>
      <c r="B405">
        <f t="shared" si="351"/>
        <v>955</v>
      </c>
      <c r="C405">
        <f t="shared" si="320"/>
        <v>1.1662131183164164</v>
      </c>
      <c r="D405">
        <f t="shared" si="321"/>
        <v>0.54045199680606315</v>
      </c>
      <c r="F405">
        <f t="shared" si="322"/>
        <v>1.5370362442275402E-4</v>
      </c>
      <c r="G405">
        <f t="shared" si="323"/>
        <v>7.1958990130058234E-3</v>
      </c>
      <c r="H405">
        <f t="shared" si="324"/>
        <v>-3.1343967509869946</v>
      </c>
      <c r="J405">
        <f t="shared" si="325"/>
        <v>15</v>
      </c>
      <c r="M405">
        <f t="shared" si="326"/>
        <v>8.3536035520086281E-4</v>
      </c>
      <c r="N405">
        <f t="shared" si="327"/>
        <v>-1.5707963250000001</v>
      </c>
      <c r="O405">
        <f t="shared" si="328"/>
        <v>108.01258449643221</v>
      </c>
      <c r="P405">
        <f t="shared" si="329"/>
        <v>1.5615380140634296</v>
      </c>
      <c r="Q405">
        <f t="shared" si="330"/>
        <v>113.65037011691712</v>
      </c>
      <c r="R405">
        <f t="shared" si="331"/>
        <v>1.5619972977824403</v>
      </c>
      <c r="S405">
        <f t="shared" si="332"/>
        <v>0.97291084371726333</v>
      </c>
      <c r="T405">
        <f t="shared" si="333"/>
        <v>-0.23329102544409891</v>
      </c>
      <c r="U405">
        <f t="shared" si="334"/>
        <v>0.17325270725230582</v>
      </c>
      <c r="V405">
        <f t="shared" si="335"/>
        <v>-1.3966649585732918</v>
      </c>
      <c r="X405">
        <f t="shared" si="352"/>
        <v>-46.655491274063195</v>
      </c>
      <c r="Y405">
        <f t="shared" si="336"/>
        <v>-153.04629492414978</v>
      </c>
      <c r="Z405">
        <f t="shared" si="353"/>
        <v>26.953705075850223</v>
      </c>
      <c r="AC405">
        <v>1</v>
      </c>
      <c r="AD405">
        <f t="shared" si="337"/>
        <v>108.00795530700002</v>
      </c>
      <c r="AE405">
        <f t="shared" si="338"/>
        <v>-0.64809546719993949</v>
      </c>
      <c r="AF405">
        <f t="shared" si="339"/>
        <v>0.1140083972685</v>
      </c>
      <c r="AG405">
        <f t="shared" si="315"/>
        <v>26.940017132304785</v>
      </c>
      <c r="AH405">
        <f t="shared" si="316"/>
        <v>-161.91529248728224</v>
      </c>
      <c r="AJ405">
        <f t="shared" si="340"/>
        <v>10500</v>
      </c>
      <c r="AK405">
        <f t="shared" si="341"/>
        <v>2494.9837675917001</v>
      </c>
      <c r="AL405">
        <v>1</v>
      </c>
      <c r="AM405">
        <f t="shared" si="342"/>
        <v>113.64597057402541</v>
      </c>
      <c r="AN405">
        <f t="shared" si="317"/>
        <v>22.765221033187508</v>
      </c>
      <c r="AO405">
        <f t="shared" si="318"/>
        <v>-92.191872057111539</v>
      </c>
      <c r="AQ405">
        <f t="shared" si="343"/>
        <v>2.7411521775301726E-3</v>
      </c>
      <c r="AR405">
        <f t="shared" si="344"/>
        <v>-5.2356006590826292</v>
      </c>
      <c r="AT405">
        <f t="shared" si="313"/>
        <v>-847.6499653753466</v>
      </c>
      <c r="AU405">
        <f t="shared" si="314"/>
        <v>-141.49100591016921</v>
      </c>
      <c r="AV405">
        <f t="shared" si="354"/>
        <v>-2.9761960379380699</v>
      </c>
      <c r="AW405">
        <f t="shared" si="355"/>
        <v>-440.06917424578643</v>
      </c>
      <c r="AX405">
        <f t="shared" si="356"/>
        <v>-376.63432675815392</v>
      </c>
      <c r="AY405">
        <f t="shared" si="364"/>
        <v>-2.4337106776144841</v>
      </c>
      <c r="BA405">
        <f t="shared" si="345"/>
        <v>1.4836402489705205</v>
      </c>
      <c r="BB405">
        <f t="shared" si="357"/>
        <v>3.4265721316956887</v>
      </c>
      <c r="BC405">
        <f t="shared" si="358"/>
        <v>-0.54248536032358574</v>
      </c>
      <c r="BD405">
        <f t="shared" si="346"/>
        <v>-211.0821216296917</v>
      </c>
      <c r="BF405">
        <f t="shared" si="347"/>
        <v>-47.982362069612307</v>
      </c>
      <c r="BG405">
        <f t="shared" si="348"/>
        <v>-179.70420850418435</v>
      </c>
      <c r="BH405">
        <f t="shared" si="359"/>
        <v>0.29579149581564934</v>
      </c>
      <c r="BI405">
        <f t="shared" si="360"/>
        <v>0.29579149581564934</v>
      </c>
      <c r="BJ405">
        <f t="shared" si="349"/>
        <v>0</v>
      </c>
      <c r="BK405">
        <f t="shared" si="361"/>
        <v>0</v>
      </c>
      <c r="BM405">
        <f t="shared" si="362"/>
        <v>-51.408934201308</v>
      </c>
      <c r="BN405">
        <f t="shared" si="350"/>
        <v>-148.62208687449268</v>
      </c>
      <c r="BQ405" s="56">
        <f t="shared" si="363"/>
        <v>20.328532931980824</v>
      </c>
      <c r="BR405" s="59"/>
      <c r="BS405" s="59"/>
      <c r="BT405" s="59">
        <v>891250.93799999997</v>
      </c>
      <c r="BU405" s="59">
        <v>6.8612700000000002</v>
      </c>
      <c r="BV405" s="59">
        <v>102.337</v>
      </c>
      <c r="BY405" s="59"/>
      <c r="BZ405" s="59"/>
      <c r="CA405" s="59"/>
      <c r="CC405" s="59"/>
    </row>
    <row r="406" spans="1:81" x14ac:dyDescent="0.2">
      <c r="A406">
        <f t="shared" si="319"/>
        <v>960000</v>
      </c>
      <c r="B406">
        <f t="shared" si="351"/>
        <v>960</v>
      </c>
      <c r="C406">
        <f t="shared" si="320"/>
        <v>1.1678326488886488</v>
      </c>
      <c r="D406">
        <f t="shared" si="321"/>
        <v>0.54275870002899429</v>
      </c>
      <c r="F406">
        <f t="shared" si="322"/>
        <v>1.5210650764164866E-4</v>
      </c>
      <c r="G406">
        <f t="shared" si="323"/>
        <v>7.15840999612582E-3</v>
      </c>
      <c r="H406">
        <f t="shared" si="324"/>
        <v>-3.1344342400038743</v>
      </c>
      <c r="J406">
        <f t="shared" si="325"/>
        <v>15</v>
      </c>
      <c r="M406">
        <f t="shared" si="326"/>
        <v>8.3100952001752509E-4</v>
      </c>
      <c r="N406">
        <f t="shared" si="327"/>
        <v>-1.5707963250000001</v>
      </c>
      <c r="O406">
        <f t="shared" si="328"/>
        <v>108.57804706409584</v>
      </c>
      <c r="P406">
        <f t="shared" si="329"/>
        <v>1.5615862317082581</v>
      </c>
      <c r="Q406">
        <f t="shared" si="330"/>
        <v>114.24535228505074</v>
      </c>
      <c r="R406">
        <f t="shared" si="331"/>
        <v>1.562043123711591</v>
      </c>
      <c r="S406">
        <f t="shared" si="332"/>
        <v>0.97263801171293651</v>
      </c>
      <c r="T406">
        <f t="shared" si="333"/>
        <v>-0.2344682774540533</v>
      </c>
      <c r="U406">
        <f t="shared" si="334"/>
        <v>0.17237723007525896</v>
      </c>
      <c r="V406">
        <f t="shared" si="335"/>
        <v>-1.3975538091549169</v>
      </c>
      <c r="X406">
        <f t="shared" si="352"/>
        <v>-46.735252621114967</v>
      </c>
      <c r="Y406">
        <f t="shared" si="336"/>
        <v>-153.02926918597171</v>
      </c>
      <c r="Z406">
        <f t="shared" si="353"/>
        <v>26.970730814028286</v>
      </c>
      <c r="AC406">
        <v>1</v>
      </c>
      <c r="AD406">
        <f t="shared" si="337"/>
        <v>108.57344198400001</v>
      </c>
      <c r="AE406">
        <f t="shared" si="338"/>
        <v>-0.65489957245850083</v>
      </c>
      <c r="AF406">
        <f t="shared" si="339"/>
        <v>0.11460529987200001</v>
      </c>
      <c r="AG406">
        <f t="shared" si="315"/>
        <v>26.668439504952008</v>
      </c>
      <c r="AH406">
        <f t="shared" si="316"/>
        <v>-161.11950887569563</v>
      </c>
      <c r="AJ406">
        <f t="shared" si="340"/>
        <v>10500</v>
      </c>
      <c r="AK406">
        <f t="shared" si="341"/>
        <v>2508.0465098304003</v>
      </c>
      <c r="AL406">
        <v>1</v>
      </c>
      <c r="AM406">
        <f t="shared" si="342"/>
        <v>114.24097565556481</v>
      </c>
      <c r="AN406">
        <f t="shared" si="317"/>
        <v>22.756793477459837</v>
      </c>
      <c r="AO406">
        <f t="shared" si="318"/>
        <v>-91.711779826804928</v>
      </c>
      <c r="AQ406">
        <f t="shared" si="343"/>
        <v>2.7126728752514986E-3</v>
      </c>
      <c r="AR406">
        <f t="shared" si="344"/>
        <v>-5.2083319204828777</v>
      </c>
      <c r="AT406">
        <f t="shared" ref="AT406:AT469" si="365">-AR406*AH406+AG406*AQ406</f>
        <v>-839.09153833733956</v>
      </c>
      <c r="AU406">
        <f t="shared" ref="AU406:AU469" si="366">AQ406*AH406+AG406*AR406</f>
        <v>-139.33514926450908</v>
      </c>
      <c r="AV406">
        <f t="shared" si="354"/>
        <v>-2.9770393977502136</v>
      </c>
      <c r="AW406">
        <f t="shared" si="355"/>
        <v>-435.26326001425514</v>
      </c>
      <c r="AX406">
        <f t="shared" si="356"/>
        <v>-374.66119335690667</v>
      </c>
      <c r="AY406">
        <f t="shared" si="364"/>
        <v>-2.4308796630686187</v>
      </c>
      <c r="BA406">
        <f t="shared" si="345"/>
        <v>1.4810648425059261</v>
      </c>
      <c r="BB406">
        <f t="shared" si="357"/>
        <v>3.4114814557186284</v>
      </c>
      <c r="BC406">
        <f t="shared" si="358"/>
        <v>-0.54615973468159495</v>
      </c>
      <c r="BD406">
        <f t="shared" si="346"/>
        <v>-211.29264777299727</v>
      </c>
      <c r="BF406">
        <f t="shared" si="347"/>
        <v>-48.076125210241365</v>
      </c>
      <c r="BG406">
        <f t="shared" si="348"/>
        <v>-179.78471825052347</v>
      </c>
      <c r="BH406">
        <f t="shared" si="359"/>
        <v>0.21528174947653156</v>
      </c>
      <c r="BI406">
        <f t="shared" si="360"/>
        <v>0.21528174947653156</v>
      </c>
      <c r="BJ406">
        <f t="shared" si="349"/>
        <v>0</v>
      </c>
      <c r="BK406">
        <f t="shared" si="361"/>
        <v>0</v>
      </c>
      <c r="BM406">
        <f t="shared" si="362"/>
        <v>-51.487606665959987</v>
      </c>
      <c r="BN406">
        <f t="shared" si="350"/>
        <v>-148.49207047752623</v>
      </c>
      <c r="BQ406" s="56">
        <f t="shared" si="363"/>
        <v>20.313442256003764</v>
      </c>
      <c r="BR406" s="59"/>
      <c r="BS406" s="59"/>
      <c r="BT406" s="59">
        <v>912010.83900000004</v>
      </c>
      <c r="BU406" s="59">
        <v>6.4708399999999999</v>
      </c>
      <c r="BV406" s="59">
        <v>100.33499999999999</v>
      </c>
      <c r="BY406" s="59"/>
      <c r="BZ406" s="59"/>
      <c r="CA406" s="59"/>
      <c r="CC406" s="59"/>
    </row>
    <row r="407" spans="1:81" x14ac:dyDescent="0.2">
      <c r="A407">
        <f t="shared" si="319"/>
        <v>965000</v>
      </c>
      <c r="B407">
        <f t="shared" si="351"/>
        <v>965</v>
      </c>
      <c r="C407">
        <f t="shared" si="320"/>
        <v>1.1694583761280322</v>
      </c>
      <c r="D407">
        <f t="shared" si="321"/>
        <v>0.54505900211783809</v>
      </c>
      <c r="F407">
        <f t="shared" si="322"/>
        <v>1.5053415638182854E-4</v>
      </c>
      <c r="G407">
        <f t="shared" si="323"/>
        <v>7.1213096265290545E-3</v>
      </c>
      <c r="H407">
        <f t="shared" si="324"/>
        <v>-3.1344713403734712</v>
      </c>
      <c r="J407">
        <f t="shared" si="325"/>
        <v>15</v>
      </c>
      <c r="M407">
        <f t="shared" si="326"/>
        <v>8.267037712091441E-4</v>
      </c>
      <c r="N407">
        <f t="shared" si="327"/>
        <v>-1.5707963250000001</v>
      </c>
      <c r="O407">
        <f t="shared" si="328"/>
        <v>109.14350988158135</v>
      </c>
      <c r="P407">
        <f t="shared" si="329"/>
        <v>1.5616339497305378</v>
      </c>
      <c r="Q407">
        <f t="shared" si="330"/>
        <v>114.84033469061541</v>
      </c>
      <c r="R407">
        <f t="shared" si="331"/>
        <v>1.5620884747968427</v>
      </c>
      <c r="S407">
        <f t="shared" si="332"/>
        <v>0.97236398619885733</v>
      </c>
      <c r="T407">
        <f t="shared" si="333"/>
        <v>-0.23564486774930479</v>
      </c>
      <c r="U407">
        <f t="shared" si="334"/>
        <v>0.17151042283549006</v>
      </c>
      <c r="V407">
        <f t="shared" si="335"/>
        <v>-1.3984337211696156</v>
      </c>
      <c r="X407">
        <f t="shared" si="352"/>
        <v>-46.814545037962489</v>
      </c>
      <c r="Y407">
        <f t="shared" si="336"/>
        <v>-153.01209371510694</v>
      </c>
      <c r="Z407">
        <f t="shared" si="353"/>
        <v>26.987906284893057</v>
      </c>
      <c r="AC407">
        <v>1</v>
      </c>
      <c r="AD407">
        <f t="shared" si="337"/>
        <v>109.13892866100001</v>
      </c>
      <c r="AE407">
        <f t="shared" si="338"/>
        <v>-0.66173920829282495</v>
      </c>
      <c r="AF407">
        <f t="shared" si="339"/>
        <v>0.11520220247549999</v>
      </c>
      <c r="AG407">
        <f t="shared" si="315"/>
        <v>26.40090677493512</v>
      </c>
      <c r="AH407">
        <f t="shared" si="316"/>
        <v>-160.3312675500832</v>
      </c>
      <c r="AJ407">
        <f t="shared" si="340"/>
        <v>10500</v>
      </c>
      <c r="AK407">
        <f t="shared" si="341"/>
        <v>2521.1092520691004</v>
      </c>
      <c r="AL407">
        <v>1</v>
      </c>
      <c r="AM407">
        <f t="shared" si="342"/>
        <v>114.83598073710422</v>
      </c>
      <c r="AN407">
        <f t="shared" si="317"/>
        <v>22.748496567094524</v>
      </c>
      <c r="AO407">
        <f t="shared" si="318"/>
        <v>-91.236661507847757</v>
      </c>
      <c r="AQ407">
        <f t="shared" si="343"/>
        <v>2.6846351084230157E-3</v>
      </c>
      <c r="AR407">
        <f t="shared" si="344"/>
        <v>-5.1813457592564207</v>
      </c>
      <c r="AT407">
        <f t="shared" si="365"/>
        <v>-830.66085639560799</v>
      </c>
      <c r="AU407">
        <f t="shared" si="366"/>
        <v>-137.22265730867713</v>
      </c>
      <c r="AV407">
        <f t="shared" si="354"/>
        <v>-2.9778742903602118</v>
      </c>
      <c r="AW407">
        <f t="shared" si="355"/>
        <v>-430.5319687625497</v>
      </c>
      <c r="AX407">
        <f t="shared" si="356"/>
        <v>-372.70870536215767</v>
      </c>
      <c r="AY407">
        <f t="shared" si="364"/>
        <v>-2.4280579937004299</v>
      </c>
      <c r="BA407">
        <f t="shared" si="345"/>
        <v>1.4784859307800133</v>
      </c>
      <c r="BB407">
        <f t="shared" si="357"/>
        <v>3.39634392301646</v>
      </c>
      <c r="BC407">
        <f t="shared" si="358"/>
        <v>-0.54981629665978193</v>
      </c>
      <c r="BD407">
        <f t="shared" si="346"/>
        <v>-211.50215334211478</v>
      </c>
      <c r="BF407">
        <f t="shared" si="347"/>
        <v>-48.169434458363057</v>
      </c>
      <c r="BG407">
        <f t="shared" si="348"/>
        <v>-179.86455191279322</v>
      </c>
      <c r="BH407">
        <f t="shared" si="359"/>
        <v>0.13544808720678247</v>
      </c>
      <c r="BI407">
        <f t="shared" si="360"/>
        <v>0.13544808720678247</v>
      </c>
      <c r="BJ407">
        <f t="shared" si="349"/>
        <v>0</v>
      </c>
      <c r="BK407">
        <f t="shared" si="361"/>
        <v>0</v>
      </c>
      <c r="BM407">
        <f t="shared" si="362"/>
        <v>-51.565778381379516</v>
      </c>
      <c r="BN407">
        <f t="shared" si="350"/>
        <v>-148.36239857067844</v>
      </c>
      <c r="BQ407" s="56">
        <f t="shared" si="363"/>
        <v>20.298304723301595</v>
      </c>
      <c r="BR407" s="59"/>
      <c r="BS407" s="59"/>
      <c r="BT407" s="59">
        <v>933254.30099999998</v>
      </c>
      <c r="BU407" s="59">
        <v>6.2453099999999999</v>
      </c>
      <c r="BV407" s="59">
        <v>100.20399999999999</v>
      </c>
      <c r="BY407" s="59"/>
      <c r="BZ407" s="59"/>
      <c r="CA407" s="59"/>
      <c r="CC407" s="59"/>
    </row>
    <row r="408" spans="1:81" x14ac:dyDescent="0.2">
      <c r="A408">
        <f t="shared" si="319"/>
        <v>970000</v>
      </c>
      <c r="B408">
        <f t="shared" si="351"/>
        <v>970</v>
      </c>
      <c r="C408">
        <f t="shared" si="320"/>
        <v>1.1710902742276132</v>
      </c>
      <c r="D408">
        <f t="shared" si="321"/>
        <v>0.54735290543820192</v>
      </c>
      <c r="F408">
        <f t="shared" si="322"/>
        <v>1.4898606122408435E-4</v>
      </c>
      <c r="G408">
        <f t="shared" si="323"/>
        <v>7.0845918909305874E-3</v>
      </c>
      <c r="H408">
        <f t="shared" si="324"/>
        <v>-3.1345080581090694</v>
      </c>
      <c r="J408">
        <f t="shared" si="325"/>
        <v>15</v>
      </c>
      <c r="M408">
        <f t="shared" si="326"/>
        <v>8.2244241156373605E-4</v>
      </c>
      <c r="N408">
        <f t="shared" si="327"/>
        <v>-1.5707963250000001</v>
      </c>
      <c r="O408">
        <f t="shared" si="328"/>
        <v>109.70897294502582</v>
      </c>
      <c r="P408">
        <f t="shared" si="329"/>
        <v>1.561681175855528</v>
      </c>
      <c r="Q408">
        <f t="shared" si="330"/>
        <v>115.43531732993981</v>
      </c>
      <c r="R408">
        <f t="shared" si="331"/>
        <v>1.5621333583804016</v>
      </c>
      <c r="S408">
        <f t="shared" si="332"/>
        <v>0.97208877045863729</v>
      </c>
      <c r="T408">
        <f t="shared" si="333"/>
        <v>-0.23682079363269937</v>
      </c>
      <c r="U408">
        <f t="shared" si="334"/>
        <v>0.17065215939270703</v>
      </c>
      <c r="V408">
        <f t="shared" si="335"/>
        <v>-1.399304827434245</v>
      </c>
      <c r="X408">
        <f t="shared" si="352"/>
        <v>-46.89337330530109</v>
      </c>
      <c r="Y408">
        <f t="shared" si="336"/>
        <v>-152.99477531255965</v>
      </c>
      <c r="Z408">
        <f t="shared" si="353"/>
        <v>27.005224687440347</v>
      </c>
      <c r="AC408">
        <v>1</v>
      </c>
      <c r="AD408">
        <f t="shared" si="337"/>
        <v>109.70441533800002</v>
      </c>
      <c r="AE408">
        <f t="shared" si="338"/>
        <v>-0.66861437470291174</v>
      </c>
      <c r="AF408">
        <f t="shared" si="339"/>
        <v>0.115799105079</v>
      </c>
      <c r="AG408">
        <f t="shared" si="315"/>
        <v>26.137339833095883</v>
      </c>
      <c r="AH408">
        <f t="shared" si="316"/>
        <v>-159.55046557828254</v>
      </c>
      <c r="AJ408">
        <f t="shared" si="340"/>
        <v>10500</v>
      </c>
      <c r="AK408">
        <f t="shared" si="341"/>
        <v>2534.1719943078001</v>
      </c>
      <c r="AL408">
        <v>1</v>
      </c>
      <c r="AM408">
        <f t="shared" si="342"/>
        <v>115.43098581864361</v>
      </c>
      <c r="AN408">
        <f t="shared" si="317"/>
        <v>22.740327615665191</v>
      </c>
      <c r="AO408">
        <f t="shared" si="318"/>
        <v>-90.766440207358272</v>
      </c>
      <c r="AQ408">
        <f t="shared" si="343"/>
        <v>2.6570297967292494E-3</v>
      </c>
      <c r="AR408">
        <f t="shared" si="344"/>
        <v>-5.1546378056547439</v>
      </c>
      <c r="AT408">
        <f t="shared" si="365"/>
        <v>-822.3554140888873</v>
      </c>
      <c r="AU408">
        <f t="shared" si="366"/>
        <v>-135.15245038404521</v>
      </c>
      <c r="AV408">
        <f t="shared" si="354"/>
        <v>-2.9787008412966376</v>
      </c>
      <c r="AW408">
        <f t="shared" si="355"/>
        <v>-425.87376306230686</v>
      </c>
      <c r="AX408">
        <f t="shared" si="356"/>
        <v>-370.77653893830825</v>
      </c>
      <c r="AY408">
        <f t="shared" si="364"/>
        <v>-2.4252456499444279</v>
      </c>
      <c r="BA408">
        <f t="shared" si="345"/>
        <v>1.4759037085448674</v>
      </c>
      <c r="BB408">
        <f t="shared" si="357"/>
        <v>3.3811604802042874</v>
      </c>
      <c r="BC408">
        <f t="shared" si="358"/>
        <v>-0.55345519135220966</v>
      </c>
      <c r="BD408">
        <f t="shared" si="346"/>
        <v>-211.71064665032168</v>
      </c>
      <c r="BF408">
        <f t="shared" si="347"/>
        <v>-48.262294078772541</v>
      </c>
      <c r="BG408">
        <f t="shared" si="348"/>
        <v>-179.94371801326753</v>
      </c>
      <c r="BH408">
        <f t="shared" si="359"/>
        <v>5.6281986732471978E-2</v>
      </c>
      <c r="BI408">
        <f t="shared" si="360"/>
        <v>5.6281986732471978E-2</v>
      </c>
      <c r="BJ408">
        <f t="shared" si="349"/>
        <v>0</v>
      </c>
      <c r="BK408">
        <f t="shared" si="361"/>
        <v>0</v>
      </c>
      <c r="BM408">
        <f t="shared" si="362"/>
        <v>-51.643454558976828</v>
      </c>
      <c r="BN408">
        <f t="shared" si="350"/>
        <v>-148.23307136294585</v>
      </c>
      <c r="BQ408" s="56">
        <f t="shared" si="363"/>
        <v>20.283121280489421</v>
      </c>
      <c r="BR408" s="59"/>
      <c r="BS408" s="59"/>
      <c r="BT408" s="59">
        <v>954992.58600000001</v>
      </c>
      <c r="BU408" s="59">
        <v>6.1328699999999996</v>
      </c>
      <c r="BV408" s="59">
        <v>99.956599999999995</v>
      </c>
      <c r="BY408" s="59"/>
      <c r="BZ408" s="59"/>
      <c r="CA408" s="59"/>
      <c r="CC408" s="59"/>
    </row>
    <row r="409" spans="1:81" x14ac:dyDescent="0.2">
      <c r="A409">
        <f t="shared" si="319"/>
        <v>975000</v>
      </c>
      <c r="B409">
        <f t="shared" si="351"/>
        <v>975</v>
      </c>
      <c r="C409">
        <f t="shared" si="320"/>
        <v>1.1727283174264005</v>
      </c>
      <c r="D409">
        <f t="shared" si="321"/>
        <v>0.54964041261191199</v>
      </c>
      <c r="F409">
        <f t="shared" si="322"/>
        <v>1.4746172578095537E-4</v>
      </c>
      <c r="G409">
        <f t="shared" si="323"/>
        <v>7.0482508994782816E-3</v>
      </c>
      <c r="H409">
        <f t="shared" si="324"/>
        <v>-3.134544399100522</v>
      </c>
      <c r="J409">
        <f t="shared" si="325"/>
        <v>15</v>
      </c>
      <c r="M409">
        <f t="shared" si="326"/>
        <v>8.1822475817110152E-4</v>
      </c>
      <c r="N409">
        <f t="shared" si="327"/>
        <v>-1.5707963250000001</v>
      </c>
      <c r="O409">
        <f t="shared" si="328"/>
        <v>110.27443625064559</v>
      </c>
      <c r="P409">
        <f t="shared" si="329"/>
        <v>1.5617279176500434</v>
      </c>
      <c r="Q409">
        <f t="shared" si="330"/>
        <v>116.03030019942787</v>
      </c>
      <c r="R409">
        <f t="shared" si="331"/>
        <v>1.562177781653884</v>
      </c>
      <c r="S409">
        <f t="shared" si="332"/>
        <v>0.97181236778506119</v>
      </c>
      <c r="T409">
        <f t="shared" si="333"/>
        <v>-0.23799605241747807</v>
      </c>
      <c r="U409">
        <f t="shared" si="334"/>
        <v>0.16980231600113499</v>
      </c>
      <c r="V409">
        <f t="shared" si="335"/>
        <v>-1.4001672581740277</v>
      </c>
      <c r="X409">
        <f t="shared" si="352"/>
        <v>-46.971742137182972</v>
      </c>
      <c r="Y409">
        <f t="shared" si="336"/>
        <v>-152.97732062739385</v>
      </c>
      <c r="Z409">
        <f t="shared" si="353"/>
        <v>27.022679372606149</v>
      </c>
      <c r="AC409">
        <v>1</v>
      </c>
      <c r="AD409">
        <f t="shared" si="337"/>
        <v>110.26990201500001</v>
      </c>
      <c r="AE409">
        <f t="shared" si="338"/>
        <v>-0.6755250716887613</v>
      </c>
      <c r="AF409">
        <f t="shared" si="339"/>
        <v>0.11639600768250001</v>
      </c>
      <c r="AG409">
        <f t="shared" si="315"/>
        <v>25.877661474429839</v>
      </c>
      <c r="AH409">
        <f t="shared" si="316"/>
        <v>-158.77700181146602</v>
      </c>
      <c r="AJ409">
        <f t="shared" si="340"/>
        <v>10500</v>
      </c>
      <c r="AK409">
        <f t="shared" si="341"/>
        <v>2547.2347365465002</v>
      </c>
      <c r="AL409">
        <v>1</v>
      </c>
      <c r="AM409">
        <f t="shared" si="342"/>
        <v>116.025990900183</v>
      </c>
      <c r="AN409">
        <f t="shared" si="317"/>
        <v>22.732284005440821</v>
      </c>
      <c r="AO409">
        <f t="shared" si="318"/>
        <v>-90.301040609152295</v>
      </c>
      <c r="AQ409">
        <f t="shared" si="343"/>
        <v>2.6298480920846569E-3</v>
      </c>
      <c r="AR409">
        <f t="shared" si="344"/>
        <v>-5.128203779565081</v>
      </c>
      <c r="AT409">
        <f t="shared" si="365"/>
        <v>-814.17276647891572</v>
      </c>
      <c r="AU409">
        <f t="shared" si="366"/>
        <v>-133.12348077475761</v>
      </c>
      <c r="AV409">
        <f t="shared" si="354"/>
        <v>-2.9795191736459117</v>
      </c>
      <c r="AW409">
        <f t="shared" si="355"/>
        <v>-421.28714488609518</v>
      </c>
      <c r="AX409">
        <f t="shared" si="356"/>
        <v>-368.86437702401747</v>
      </c>
      <c r="AY409">
        <f t="shared" si="364"/>
        <v>-2.4224426118622637</v>
      </c>
      <c r="BA409">
        <f t="shared" si="345"/>
        <v>1.4733183668133183</v>
      </c>
      <c r="BB409">
        <f t="shared" si="357"/>
        <v>3.3659320585152432</v>
      </c>
      <c r="BC409">
        <f t="shared" si="358"/>
        <v>-0.55707656178364795</v>
      </c>
      <c r="BD409">
        <f t="shared" si="346"/>
        <v>-211.91813589233365</v>
      </c>
      <c r="BF409">
        <f t="shared" si="347"/>
        <v>-48.354708274868543</v>
      </c>
      <c r="BG409">
        <f t="shared" si="348"/>
        <v>-180.02222493390619</v>
      </c>
      <c r="BH409">
        <f t="shared" si="359"/>
        <v>-2.2224933906187516E-2</v>
      </c>
      <c r="BI409">
        <f t="shared" si="360"/>
        <v>-2.2224933906187516E-2</v>
      </c>
      <c r="BJ409">
        <f t="shared" si="349"/>
        <v>0</v>
      </c>
      <c r="BK409">
        <f t="shared" si="361"/>
        <v>0</v>
      </c>
      <c r="BM409">
        <f t="shared" si="362"/>
        <v>-51.720640333383791</v>
      </c>
      <c r="BN409">
        <f t="shared" si="350"/>
        <v>-148.10408904157254</v>
      </c>
      <c r="BQ409" s="56">
        <f t="shared" si="363"/>
        <v>20.26789285880038</v>
      </c>
      <c r="BR409" s="59"/>
      <c r="BS409" s="59"/>
      <c r="BT409" s="59">
        <v>977237.22100000002</v>
      </c>
      <c r="BU409" s="59">
        <v>5.7547600000000001</v>
      </c>
      <c r="BV409" s="59">
        <v>98.699600000000004</v>
      </c>
      <c r="BY409" s="59"/>
      <c r="BZ409" s="59"/>
      <c r="CA409" s="59"/>
      <c r="CC409" s="59"/>
    </row>
    <row r="410" spans="1:81" x14ac:dyDescent="0.2">
      <c r="A410">
        <f t="shared" si="319"/>
        <v>980000</v>
      </c>
      <c r="B410">
        <f t="shared" si="351"/>
        <v>980</v>
      </c>
      <c r="C410">
        <f t="shared" si="320"/>
        <v>1.1743724800103938</v>
      </c>
      <c r="D410">
        <f t="shared" si="321"/>
        <v>0.55192152651394499</v>
      </c>
      <c r="F410">
        <f t="shared" si="322"/>
        <v>1.4596066629870305E-4</v>
      </c>
      <c r="G410">
        <f t="shared" si="323"/>
        <v>7.0122808826014564E-3</v>
      </c>
      <c r="H410">
        <f t="shared" si="324"/>
        <v>-3.1345803691173986</v>
      </c>
      <c r="J410">
        <f t="shared" si="325"/>
        <v>15</v>
      </c>
      <c r="M410">
        <f t="shared" si="326"/>
        <v>8.1405014205798373E-4</v>
      </c>
      <c r="N410">
        <f t="shared" si="327"/>
        <v>-1.5707963250000001</v>
      </c>
      <c r="O410">
        <f t="shared" si="328"/>
        <v>110.83989979473421</v>
      </c>
      <c r="P410">
        <f t="shared" si="329"/>
        <v>1.5617741825264941</v>
      </c>
      <c r="Q410">
        <f t="shared" si="330"/>
        <v>116.62528329555694</v>
      </c>
      <c r="R410">
        <f t="shared" si="331"/>
        <v>1.5622217516621562</v>
      </c>
      <c r="S410">
        <f t="shared" si="332"/>
        <v>0.97153478147998928</v>
      </c>
      <c r="T410">
        <f t="shared" si="333"/>
        <v>-0.23917064142730091</v>
      </c>
      <c r="U410">
        <f t="shared" si="334"/>
        <v>0.16896077125399594</v>
      </c>
      <c r="V410">
        <f t="shared" si="335"/>
        <v>-1.4010211410847921</v>
      </c>
      <c r="X410">
        <f t="shared" si="352"/>
        <v>-47.049656182245073</v>
      </c>
      <c r="Y410">
        <f t="shared" si="336"/>
        <v>-152.95973616020567</v>
      </c>
      <c r="Z410">
        <f t="shared" si="353"/>
        <v>27.040263839794335</v>
      </c>
      <c r="AC410">
        <v>1</v>
      </c>
      <c r="AD410">
        <f t="shared" si="337"/>
        <v>110.83538869200001</v>
      </c>
      <c r="AE410">
        <f t="shared" si="338"/>
        <v>-0.68247129925037353</v>
      </c>
      <c r="AF410">
        <f t="shared" si="339"/>
        <v>0.11699291028599999</v>
      </c>
      <c r="AG410">
        <f t="shared" si="315"/>
        <v>25.621796343959605</v>
      </c>
      <c r="AH410">
        <f t="shared" si="316"/>
        <v>-158.01077684792611</v>
      </c>
      <c r="AJ410">
        <f t="shared" si="340"/>
        <v>10500</v>
      </c>
      <c r="AK410">
        <f t="shared" si="341"/>
        <v>2560.2974787852004</v>
      </c>
      <c r="AL410">
        <v>1</v>
      </c>
      <c r="AM410">
        <f t="shared" si="342"/>
        <v>116.62099598172242</v>
      </c>
      <c r="AN410">
        <f t="shared" si="317"/>
        <v>22.724363185288574</v>
      </c>
      <c r="AO410">
        <f t="shared" si="318"/>
        <v>-89.840388933539685</v>
      </c>
      <c r="AQ410">
        <f t="shared" si="343"/>
        <v>2.6030813715427498E-3</v>
      </c>
      <c r="AR410">
        <f t="shared" si="344"/>
        <v>-5.1020394882237898</v>
      </c>
      <c r="AT410">
        <f t="shared" si="365"/>
        <v>-806.11052742226798</v>
      </c>
      <c r="AU410">
        <f t="shared" si="366"/>
        <v>-131.13473161582567</v>
      </c>
      <c r="AV410">
        <f t="shared" si="354"/>
        <v>-2.9803294081107286</v>
      </c>
      <c r="AW410">
        <f t="shared" si="355"/>
        <v>-416.77065440163148</v>
      </c>
      <c r="AX410">
        <f t="shared" si="356"/>
        <v>-366.97190915489165</v>
      </c>
      <c r="AY410">
        <f t="shared" si="364"/>
        <v>-2.4196488591522529</v>
      </c>
      <c r="BA410">
        <f t="shared" si="345"/>
        <v>1.4707300929341494</v>
      </c>
      <c r="BB410">
        <f t="shared" si="357"/>
        <v>3.3506595741339575</v>
      </c>
      <c r="BC410">
        <f t="shared" si="358"/>
        <v>-0.56068054895847563</v>
      </c>
      <c r="BD410">
        <f t="shared" si="346"/>
        <v>-212.12462914710653</v>
      </c>
      <c r="BF410">
        <f t="shared" si="347"/>
        <v>-48.446681189848363</v>
      </c>
      <c r="BG410">
        <f t="shared" si="348"/>
        <v>-180.10008091951298</v>
      </c>
      <c r="BH410">
        <f t="shared" si="359"/>
        <v>-0.10008091951297615</v>
      </c>
      <c r="BI410">
        <f t="shared" si="360"/>
        <v>-0.10008091951297615</v>
      </c>
      <c r="BJ410">
        <f t="shared" si="349"/>
        <v>0</v>
      </c>
      <c r="BK410">
        <f t="shared" si="361"/>
        <v>0</v>
      </c>
      <c r="BM410">
        <f t="shared" si="362"/>
        <v>-51.797340763982326</v>
      </c>
      <c r="BN410">
        <f t="shared" si="350"/>
        <v>-147.97545177240647</v>
      </c>
      <c r="BQ410" s="56">
        <f t="shared" si="363"/>
        <v>20.252620374419092</v>
      </c>
    </row>
    <row r="411" spans="1:81" x14ac:dyDescent="0.2">
      <c r="A411">
        <f t="shared" si="319"/>
        <v>985000</v>
      </c>
      <c r="B411">
        <f t="shared" si="351"/>
        <v>985</v>
      </c>
      <c r="C411">
        <f t="shared" si="320"/>
        <v>1.1760227363136</v>
      </c>
      <c r="D411">
        <f t="shared" si="321"/>
        <v>0.55419625026936725</v>
      </c>
      <c r="F411">
        <f t="shared" si="322"/>
        <v>1.4448241127339617E-4</v>
      </c>
      <c r="G411">
        <f t="shared" si="323"/>
        <v>6.9766761879556409E-3</v>
      </c>
      <c r="H411">
        <f t="shared" si="324"/>
        <v>-3.1346159738120445</v>
      </c>
      <c r="J411">
        <f t="shared" si="325"/>
        <v>15</v>
      </c>
      <c r="M411">
        <f t="shared" si="326"/>
        <v>8.0991790783433912E-4</v>
      </c>
      <c r="N411">
        <f t="shared" si="327"/>
        <v>-1.5707963250000001</v>
      </c>
      <c r="O411">
        <f t="shared" si="328"/>
        <v>111.40536357366044</v>
      </c>
      <c r="P411">
        <f t="shared" si="329"/>
        <v>1.561819977746806</v>
      </c>
      <c r="Q411">
        <f t="shared" si="330"/>
        <v>117.22026661487591</v>
      </c>
      <c r="R411">
        <f t="shared" si="331"/>
        <v>1.5622652753070589</v>
      </c>
      <c r="S411">
        <f t="shared" si="332"/>
        <v>0.97125601485425539</v>
      </c>
      <c r="T411">
        <f t="shared" si="333"/>
        <v>-0.24034455799626991</v>
      </c>
      <c r="U411">
        <f t="shared" si="334"/>
        <v>0.168127406029494</v>
      </c>
      <c r="V411">
        <f t="shared" si="335"/>
        <v>-1.4018666013934511</v>
      </c>
      <c r="X411">
        <f t="shared" si="352"/>
        <v>-47.127120024908635</v>
      </c>
      <c r="Y411">
        <f t="shared" si="336"/>
        <v>-152.94202826650232</v>
      </c>
      <c r="Z411">
        <f t="shared" si="353"/>
        <v>27.057971733497681</v>
      </c>
      <c r="AC411">
        <v>1</v>
      </c>
      <c r="AD411">
        <f t="shared" si="337"/>
        <v>111.400875369</v>
      </c>
      <c r="AE411">
        <f t="shared" si="338"/>
        <v>-0.68945305738774865</v>
      </c>
      <c r="AF411">
        <f t="shared" si="339"/>
        <v>0.1175898128895</v>
      </c>
      <c r="AG411">
        <f t="shared" si="315"/>
        <v>25.36967088437353</v>
      </c>
      <c r="AH411">
        <f t="shared" si="316"/>
        <v>-157.25169299766293</v>
      </c>
      <c r="AJ411">
        <f t="shared" si="340"/>
        <v>10500</v>
      </c>
      <c r="AK411">
        <f t="shared" si="341"/>
        <v>2573.3602210239005</v>
      </c>
      <c r="AL411">
        <v>1</v>
      </c>
      <c r="AM411">
        <f t="shared" si="342"/>
        <v>117.2160010632618</v>
      </c>
      <c r="AN411">
        <f t="shared" si="317"/>
        <v>22.716562668650965</v>
      </c>
      <c r="AO411">
        <f t="shared" si="318"/>
        <v>-89.384412898344223</v>
      </c>
      <c r="AQ411">
        <f t="shared" si="343"/>
        <v>2.5767212304565359E-3</v>
      </c>
      <c r="AR411">
        <f t="shared" si="344"/>
        <v>-5.0761408239993751</v>
      </c>
      <c r="AT411">
        <f t="shared" si="365"/>
        <v>-798.16636789887605</v>
      </c>
      <c r="AU411">
        <f t="shared" si="366"/>
        <v>-129.18521584346911</v>
      </c>
      <c r="AV411">
        <f t="shared" si="354"/>
        <v>-2.9811316630668396</v>
      </c>
      <c r="AW411">
        <f t="shared" si="355"/>
        <v>-412.32286880883504</v>
      </c>
      <c r="AX411">
        <f t="shared" si="356"/>
        <v>-365.09883129175199</v>
      </c>
      <c r="AY411">
        <f t="shared" si="364"/>
        <v>-2.4168643711587317</v>
      </c>
      <c r="BA411">
        <f t="shared" si="345"/>
        <v>1.4681390706652879</v>
      </c>
      <c r="BB411">
        <f t="shared" si="357"/>
        <v>3.3353439285197255</v>
      </c>
      <c r="BC411">
        <f t="shared" si="358"/>
        <v>-0.56426729190810798</v>
      </c>
      <c r="BD411">
        <f t="shared" si="346"/>
        <v>-212.33013438055357</v>
      </c>
      <c r="BF411">
        <f t="shared" si="347"/>
        <v>-48.538216907874443</v>
      </c>
      <c r="BG411">
        <f t="shared" si="348"/>
        <v>-180.17729408080365</v>
      </c>
      <c r="BH411">
        <f t="shared" si="359"/>
        <v>-0.17729408080364806</v>
      </c>
      <c r="BI411">
        <f t="shared" si="360"/>
        <v>-0.17729408080364806</v>
      </c>
      <c r="BJ411">
        <f t="shared" si="349"/>
        <v>0</v>
      </c>
      <c r="BK411">
        <f t="shared" si="361"/>
        <v>0</v>
      </c>
      <c r="BM411">
        <f t="shared" si="362"/>
        <v>-51.873560836394162</v>
      </c>
      <c r="BN411">
        <f t="shared" si="350"/>
        <v>-147.8471597002501</v>
      </c>
      <c r="BQ411" s="56">
        <f t="shared" si="363"/>
        <v>20.237304728804865</v>
      </c>
    </row>
    <row r="412" spans="1:81" x14ac:dyDescent="0.2">
      <c r="A412">
        <f t="shared" si="319"/>
        <v>990000</v>
      </c>
      <c r="B412">
        <f t="shared" si="351"/>
        <v>990</v>
      </c>
      <c r="C412">
        <f t="shared" si="320"/>
        <v>1.1776790607190262</v>
      </c>
      <c r="D412">
        <f t="shared" si="321"/>
        <v>0.5564645872502797</v>
      </c>
      <c r="F412">
        <f t="shared" si="322"/>
        <v>1.430265010805391E-4</v>
      </c>
      <c r="G412">
        <f t="shared" si="323"/>
        <v>6.9414312774599756E-3</v>
      </c>
      <c r="H412">
        <f t="shared" si="324"/>
        <v>-3.1346512187225404</v>
      </c>
      <c r="J412">
        <f t="shared" si="325"/>
        <v>15</v>
      </c>
      <c r="M412">
        <f t="shared" si="326"/>
        <v>8.0582741335032723E-4</v>
      </c>
      <c r="N412">
        <f t="shared" si="327"/>
        <v>-1.5707963250000001</v>
      </c>
      <c r="O412">
        <f t="shared" si="328"/>
        <v>111.97082758386644</v>
      </c>
      <c r="P412">
        <f t="shared" si="329"/>
        <v>1.5618653104262186</v>
      </c>
      <c r="Q412">
        <f t="shared" si="330"/>
        <v>117.81525015400335</v>
      </c>
      <c r="R412">
        <f t="shared" si="331"/>
        <v>1.562308359351019</v>
      </c>
      <c r="S412">
        <f t="shared" si="332"/>
        <v>0.97097607122756702</v>
      </c>
      <c r="T412">
        <f t="shared" si="333"/>
        <v>-0.24151779946895197</v>
      </c>
      <c r="U412">
        <f t="shared" si="334"/>
        <v>0.16730210343826121</v>
      </c>
      <c r="V412">
        <f t="shared" si="335"/>
        <v>-1.4027037619167677</v>
      </c>
      <c r="X412">
        <f t="shared" si="352"/>
        <v>-47.204138186550715</v>
      </c>
      <c r="Y412">
        <f t="shared" si="336"/>
        <v>-152.92420315999072</v>
      </c>
      <c r="Z412">
        <f t="shared" si="353"/>
        <v>27.075796840009275</v>
      </c>
      <c r="AC412">
        <v>1</v>
      </c>
      <c r="AD412">
        <f t="shared" si="337"/>
        <v>111.96636204600001</v>
      </c>
      <c r="AE412">
        <f t="shared" si="338"/>
        <v>-0.69647034610088632</v>
      </c>
      <c r="AF412">
        <f t="shared" si="339"/>
        <v>0.11818671549299999</v>
      </c>
      <c r="AG412">
        <f t="shared" si="315"/>
        <v>25.121213285365069</v>
      </c>
      <c r="AH412">
        <f t="shared" si="316"/>
        <v>-156.49965424775593</v>
      </c>
      <c r="AJ412">
        <f t="shared" si="340"/>
        <v>10500</v>
      </c>
      <c r="AK412">
        <f t="shared" si="341"/>
        <v>2586.4229632626002</v>
      </c>
      <c r="AL412">
        <v>1</v>
      </c>
      <c r="AM412">
        <f t="shared" si="342"/>
        <v>117.81100614480121</v>
      </c>
      <c r="AN412">
        <f t="shared" si="317"/>
        <v>22.708880031594258</v>
      </c>
      <c r="AO412">
        <f t="shared" si="318"/>
        <v>-88.933041681104001</v>
      </c>
      <c r="AQ412">
        <f t="shared" si="343"/>
        <v>2.5507594758801457E-3</v>
      </c>
      <c r="AR412">
        <f t="shared" si="344"/>
        <v>-5.0505037622426894</v>
      </c>
      <c r="AT412">
        <f t="shared" si="365"/>
        <v>-790.3380143951382</v>
      </c>
      <c r="AU412">
        <f t="shared" si="366"/>
        <v>-127.27397518588175</v>
      </c>
      <c r="AV412">
        <f t="shared" si="354"/>
        <v>-2.981926054618234</v>
      </c>
      <c r="AW412">
        <f t="shared" si="355"/>
        <v>-407.94240121798941</v>
      </c>
      <c r="AX412">
        <f t="shared" si="356"/>
        <v>-363.24484565427434</v>
      </c>
      <c r="AY412">
        <f t="shared" si="364"/>
        <v>-2.4140891268812457</v>
      </c>
      <c r="BA412">
        <f t="shared" si="345"/>
        <v>1.4655454802450194</v>
      </c>
      <c r="BB412">
        <f t="shared" si="357"/>
        <v>3.3199860087195936</v>
      </c>
      <c r="BC412">
        <f t="shared" si="358"/>
        <v>-0.56783692773698835</v>
      </c>
      <c r="BD412">
        <f t="shared" si="346"/>
        <v>-212.5346594481808</v>
      </c>
      <c r="BF412">
        <f t="shared" si="347"/>
        <v>-48.629319455213249</v>
      </c>
      <c r="BG412">
        <f t="shared" si="348"/>
        <v>-180.25387239738569</v>
      </c>
      <c r="BH412">
        <f t="shared" si="359"/>
        <v>-0.25387239738569178</v>
      </c>
      <c r="BI412">
        <f t="shared" si="360"/>
        <v>-0.25387239738569178</v>
      </c>
      <c r="BJ412">
        <f t="shared" si="349"/>
        <v>0</v>
      </c>
      <c r="BK412">
        <f t="shared" si="361"/>
        <v>0</v>
      </c>
      <c r="BM412">
        <f t="shared" si="362"/>
        <v>-51.949305463932838</v>
      </c>
      <c r="BN412">
        <f t="shared" si="350"/>
        <v>-147.71921294920489</v>
      </c>
      <c r="BQ412" s="56">
        <f t="shared" si="363"/>
        <v>20.221946809004731</v>
      </c>
    </row>
    <row r="413" spans="1:81" x14ac:dyDescent="0.2">
      <c r="A413">
        <f t="shared" si="319"/>
        <v>995000</v>
      </c>
      <c r="B413">
        <f t="shared" si="351"/>
        <v>995</v>
      </c>
      <c r="C413">
        <f t="shared" si="320"/>
        <v>1.1793414276596603</v>
      </c>
      <c r="D413">
        <f t="shared" si="321"/>
        <v>0.55872654107277109</v>
      </c>
      <c r="F413">
        <f t="shared" si="322"/>
        <v>1.4159248761769908E-4</v>
      </c>
      <c r="G413">
        <f t="shared" si="323"/>
        <v>6.906540724424033E-3</v>
      </c>
      <c r="H413">
        <f t="shared" si="324"/>
        <v>-3.134686109275576</v>
      </c>
      <c r="J413">
        <f t="shared" si="325"/>
        <v>15</v>
      </c>
      <c r="M413">
        <f t="shared" si="326"/>
        <v>8.0177802936364233E-4</v>
      </c>
      <c r="N413">
        <f t="shared" si="327"/>
        <v>-1.5707963250000001</v>
      </c>
      <c r="O413">
        <f t="shared" si="328"/>
        <v>112.53629182186587</v>
      </c>
      <c r="P413">
        <f t="shared" si="329"/>
        <v>1.5619101875369703</v>
      </c>
      <c r="Q413">
        <f t="shared" si="330"/>
        <v>118.4102339096258</v>
      </c>
      <c r="R413">
        <f t="shared" si="331"/>
        <v>1.5623510104205514</v>
      </c>
      <c r="S413">
        <f t="shared" si="332"/>
        <v>0.97069495392840488</v>
      </c>
      <c r="T413">
        <f t="shared" si="333"/>
        <v>-0.24269036320040144</v>
      </c>
      <c r="U413">
        <f t="shared" si="334"/>
        <v>0.16648474877221797</v>
      </c>
      <c r="V413">
        <f t="shared" si="335"/>
        <v>-1.4035327431184723</v>
      </c>
      <c r="X413">
        <f t="shared" si="352"/>
        <v>-47.280715126648893</v>
      </c>
      <c r="Y413">
        <f t="shared" si="336"/>
        <v>-152.90626691577862</v>
      </c>
      <c r="Z413">
        <f t="shared" si="353"/>
        <v>27.093733084221384</v>
      </c>
      <c r="AC413">
        <v>1</v>
      </c>
      <c r="AD413">
        <f t="shared" si="337"/>
        <v>112.53184872300001</v>
      </c>
      <c r="AE413">
        <f t="shared" si="338"/>
        <v>-0.70352316538978676</v>
      </c>
      <c r="AF413">
        <f t="shared" si="339"/>
        <v>0.1187836180965</v>
      </c>
      <c r="AG413">
        <f t="shared" si="315"/>
        <v>24.876353434610852</v>
      </c>
      <c r="AH413">
        <f t="shared" si="316"/>
        <v>-155.75456622850302</v>
      </c>
      <c r="AJ413">
        <f t="shared" si="340"/>
        <v>10500</v>
      </c>
      <c r="AK413">
        <f t="shared" si="341"/>
        <v>2599.4857055013003</v>
      </c>
      <c r="AL413">
        <v>1</v>
      </c>
      <c r="AM413">
        <f t="shared" si="342"/>
        <v>118.40601122634061</v>
      </c>
      <c r="AN413">
        <f t="shared" si="317"/>
        <v>22.701312910925466</v>
      </c>
      <c r="AO413">
        <f t="shared" si="318"/>
        <v>-88.486205882411269</v>
      </c>
      <c r="AQ413">
        <f t="shared" si="343"/>
        <v>2.5251881202019849E-3</v>
      </c>
      <c r="AR413">
        <f t="shared" si="344"/>
        <v>-5.0251243592019499</v>
      </c>
      <c r="AT413">
        <f t="shared" si="365"/>
        <v>-782.62324733961691</v>
      </c>
      <c r="AU413">
        <f t="shared" si="366"/>
        <v>-125.40007919268751</v>
      </c>
      <c r="AV413">
        <f t="shared" si="354"/>
        <v>-2.9827126966507791</v>
      </c>
      <c r="AW413">
        <f t="shared" si="355"/>
        <v>-403.62789956736128</v>
      </c>
      <c r="AX413">
        <f t="shared" si="356"/>
        <v>-361.40966055980624</v>
      </c>
      <c r="AY413">
        <f t="shared" si="364"/>
        <v>-2.4113231049835835</v>
      </c>
      <c r="BA413">
        <f t="shared" si="345"/>
        <v>1.4629494984613234</v>
      </c>
      <c r="BB413">
        <f t="shared" si="357"/>
        <v>3.3045866876719026</v>
      </c>
      <c r="BC413">
        <f t="shared" si="358"/>
        <v>-0.57138959166719561</v>
      </c>
      <c r="BD413">
        <f t="shared" si="346"/>
        <v>-212.73821209764264</v>
      </c>
      <c r="BF413">
        <f t="shared" si="347"/>
        <v>-48.719992801347338</v>
      </c>
      <c r="BG413">
        <f t="shared" si="348"/>
        <v>-180.32982372065328</v>
      </c>
      <c r="BH413">
        <f t="shared" si="359"/>
        <v>-0.32982372065328036</v>
      </c>
      <c r="BI413">
        <f t="shared" si="360"/>
        <v>-0.32982372065328036</v>
      </c>
      <c r="BJ413">
        <f t="shared" si="349"/>
        <v>0</v>
      </c>
      <c r="BK413">
        <f t="shared" si="361"/>
        <v>0</v>
      </c>
      <c r="BM413">
        <f t="shared" si="362"/>
        <v>-52.024579489019239</v>
      </c>
      <c r="BN413">
        <f t="shared" si="350"/>
        <v>-147.59161162301066</v>
      </c>
      <c r="BQ413" s="56">
        <f t="shared" si="363"/>
        <v>20.206547487957039</v>
      </c>
    </row>
    <row r="414" spans="1:81" x14ac:dyDescent="0.2">
      <c r="A414">
        <f t="shared" si="319"/>
        <v>1000000</v>
      </c>
      <c r="B414">
        <f t="shared" si="351"/>
        <v>1000</v>
      </c>
      <c r="C414">
        <f t="shared" si="320"/>
        <v>1.1810098116194299</v>
      </c>
      <c r="D414">
        <f t="shared" si="321"/>
        <v>0.56098211559387845</v>
      </c>
      <c r="F414">
        <f t="shared" si="322"/>
        <v>1.401799339596146E-4</v>
      </c>
      <c r="G414">
        <f t="shared" si="323"/>
        <v>6.8719992107608976E-3</v>
      </c>
      <c r="H414">
        <f t="shared" si="324"/>
        <v>-3.1347206507892391</v>
      </c>
      <c r="J414">
        <f t="shared" si="325"/>
        <v>15</v>
      </c>
      <c r="M414">
        <f t="shared" si="326"/>
        <v>7.9776913921682409E-4</v>
      </c>
      <c r="N414">
        <f t="shared" si="327"/>
        <v>-1.5707963250000001</v>
      </c>
      <c r="O414">
        <f t="shared" si="328"/>
        <v>113.10175628424207</v>
      </c>
      <c r="P414">
        <f t="shared" si="329"/>
        <v>1.5619546159118736</v>
      </c>
      <c r="Q414">
        <f t="shared" si="330"/>
        <v>119.00521787849607</v>
      </c>
      <c r="R414">
        <f t="shared" si="331"/>
        <v>1.5623932350096561</v>
      </c>
      <c r="S414">
        <f t="shared" si="332"/>
        <v>0.97041266629392309</v>
      </c>
      <c r="T414">
        <f t="shared" si="333"/>
        <v>-0.24386224655618216</v>
      </c>
      <c r="U414">
        <f t="shared" si="334"/>
        <v>0.16567522945480545</v>
      </c>
      <c r="V414">
        <f t="shared" si="335"/>
        <v>-1.4043536631647786</v>
      </c>
      <c r="X414">
        <f t="shared" si="352"/>
        <v>-47.356855243899602</v>
      </c>
      <c r="Y414">
        <f t="shared" si="336"/>
        <v>-152.8882254734911</v>
      </c>
      <c r="Z414">
        <f t="shared" si="353"/>
        <v>27.111774526508896</v>
      </c>
      <c r="AC414">
        <v>1</v>
      </c>
      <c r="AD414">
        <f t="shared" si="337"/>
        <v>113.09733540000001</v>
      </c>
      <c r="AE414">
        <f t="shared" si="338"/>
        <v>-0.71061151525444988</v>
      </c>
      <c r="AF414">
        <f t="shared" si="339"/>
        <v>0.11938052070000001</v>
      </c>
      <c r="AG414">
        <f t="shared" si="315"/>
        <v>24.635022870327923</v>
      </c>
      <c r="AH414">
        <f t="shared" si="316"/>
        <v>-155.01633618031079</v>
      </c>
      <c r="AJ414">
        <f t="shared" si="340"/>
        <v>10500</v>
      </c>
      <c r="AK414">
        <f t="shared" si="341"/>
        <v>2612.54844774</v>
      </c>
      <c r="AL414">
        <v>1</v>
      </c>
      <c r="AM414">
        <f t="shared" si="342"/>
        <v>119.00101630788002</v>
      </c>
      <c r="AN414">
        <f t="shared" si="317"/>
        <v>22.693859002374953</v>
      </c>
      <c r="AO414">
        <f t="shared" si="318"/>
        <v>-88.043837490351237</v>
      </c>
      <c r="AQ414">
        <f t="shared" si="343"/>
        <v>2.4999993750001561E-3</v>
      </c>
      <c r="AR414">
        <f t="shared" si="344"/>
        <v>-4.9999987500003122</v>
      </c>
      <c r="AT414">
        <f t="shared" si="365"/>
        <v>-775.01989958940317</v>
      </c>
      <c r="AU414">
        <f t="shared" si="366"/>
        <v>-123.56262430143431</v>
      </c>
      <c r="AV414">
        <f t="shared" si="354"/>
        <v>-2.9834917008843647</v>
      </c>
      <c r="AW414">
        <f t="shared" si="355"/>
        <v>-399.37804557869634</v>
      </c>
      <c r="AX414">
        <f t="shared" si="356"/>
        <v>-359.59299026717213</v>
      </c>
      <c r="AY414">
        <f t="shared" si="364"/>
        <v>-2.4085662838026525</v>
      </c>
      <c r="BA414">
        <f t="shared" si="345"/>
        <v>1.4603512987193847</v>
      </c>
      <c r="BB414">
        <f t="shared" si="357"/>
        <v>3.2891468245005728</v>
      </c>
      <c r="BC414">
        <f t="shared" si="358"/>
        <v>-0.57492541708171219</v>
      </c>
      <c r="BD414">
        <f t="shared" si="346"/>
        <v>-212.94079997122103</v>
      </c>
      <c r="BF414">
        <f t="shared" si="347"/>
        <v>-48.810240860061157</v>
      </c>
      <c r="BG414">
        <f t="shared" si="348"/>
        <v>-180.40515577660045</v>
      </c>
      <c r="BH414">
        <f t="shared" si="359"/>
        <v>-0.4051557766004521</v>
      </c>
      <c r="BI414">
        <f t="shared" si="360"/>
        <v>-0.4051557766004521</v>
      </c>
      <c r="BJ414">
        <f t="shared" si="349"/>
        <v>0</v>
      </c>
      <c r="BK414">
        <f t="shared" si="361"/>
        <v>0</v>
      </c>
      <c r="BM414">
        <f t="shared" si="362"/>
        <v>-52.099387684561734</v>
      </c>
      <c r="BN414">
        <f t="shared" si="350"/>
        <v>-147.46435580537943</v>
      </c>
      <c r="BQ414" s="56">
        <f t="shared" si="363"/>
        <v>20.191107624785708</v>
      </c>
    </row>
    <row r="415" spans="1:81" x14ac:dyDescent="0.2">
      <c r="A415">
        <f t="shared" si="319"/>
        <v>1005000</v>
      </c>
      <c r="B415">
        <f t="shared" si="351"/>
        <v>1005</v>
      </c>
      <c r="C415">
        <f t="shared" si="320"/>
        <v>1.1826841871341449</v>
      </c>
      <c r="D415">
        <f t="shared" si="321"/>
        <v>0.56323131490855693</v>
      </c>
      <c r="F415">
        <f t="shared" si="322"/>
        <v>1.3878841402528857E-4</v>
      </c>
      <c r="G415">
        <f t="shared" si="323"/>
        <v>6.8378015242835316E-3</v>
      </c>
      <c r="H415">
        <f t="shared" si="324"/>
        <v>-3.1347548484757168</v>
      </c>
      <c r="J415">
        <f t="shared" si="325"/>
        <v>15</v>
      </c>
      <c r="M415">
        <f t="shared" si="326"/>
        <v>7.9380013852420296E-4</v>
      </c>
      <c r="N415">
        <f t="shared" si="327"/>
        <v>-1.5707963250000001</v>
      </c>
      <c r="O415">
        <f t="shared" si="328"/>
        <v>113.6672209676464</v>
      </c>
      <c r="P415">
        <f t="shared" si="329"/>
        <v>1.5619986022477821</v>
      </c>
      <c r="Q415">
        <f t="shared" si="330"/>
        <v>119.6002020574316</v>
      </c>
      <c r="R415">
        <f t="shared" si="331"/>
        <v>1.5624350394831152</v>
      </c>
      <c r="S415">
        <f t="shared" si="332"/>
        <v>0.97012921166984789</v>
      </c>
      <c r="T415">
        <f t="shared" si="333"/>
        <v>-0.24503344691238918</v>
      </c>
      <c r="U415">
        <f t="shared" si="334"/>
        <v>0.1648734349925482</v>
      </c>
      <c r="V415">
        <f t="shared" si="335"/>
        <v>-1.4051666379783521</v>
      </c>
      <c r="X415">
        <f t="shared" si="352"/>
        <v>-47.432562877310971</v>
      </c>
      <c r="Y415">
        <f t="shared" si="336"/>
        <v>-152.87008464030518</v>
      </c>
      <c r="Z415">
        <f t="shared" si="353"/>
        <v>27.12991535969482</v>
      </c>
      <c r="AC415">
        <v>1</v>
      </c>
      <c r="AD415">
        <f t="shared" si="337"/>
        <v>113.662822077</v>
      </c>
      <c r="AE415">
        <f t="shared" si="338"/>
        <v>-0.71773539569487577</v>
      </c>
      <c r="AF415">
        <f t="shared" si="339"/>
        <v>0.11997742330349999</v>
      </c>
      <c r="AG415">
        <f t="shared" si="315"/>
        <v>24.397154735352917</v>
      </c>
      <c r="AH415">
        <f t="shared" si="316"/>
        <v>-154.28487292131769</v>
      </c>
      <c r="AJ415">
        <f t="shared" si="340"/>
        <v>10500</v>
      </c>
      <c r="AK415">
        <f t="shared" si="341"/>
        <v>2625.6111899787002</v>
      </c>
      <c r="AL415">
        <v>1</v>
      </c>
      <c r="AM415">
        <f t="shared" si="342"/>
        <v>119.59602138941941</v>
      </c>
      <c r="AN415">
        <f t="shared" si="317"/>
        <v>22.68651605884223</v>
      </c>
      <c r="AO415">
        <f t="shared" si="318"/>
        <v>-87.605869846002093</v>
      </c>
      <c r="AQ415">
        <f t="shared" si="343"/>
        <v>2.4751856451113476E-3</v>
      </c>
      <c r="AR415">
        <f t="shared" si="344"/>
        <v>-4.9751231466738082</v>
      </c>
      <c r="AT415">
        <f t="shared" si="365"/>
        <v>-767.52585496529207</v>
      </c>
      <c r="AU415">
        <f t="shared" si="366"/>
        <v>-121.76073293954947</v>
      </c>
      <c r="AV415">
        <f t="shared" si="354"/>
        <v>-2.9842631769236001</v>
      </c>
      <c r="AW415">
        <f t="shared" si="355"/>
        <v>-395.19155374908559</v>
      </c>
      <c r="AX415">
        <f t="shared" si="356"/>
        <v>-357.7945548252851</v>
      </c>
      <c r="AY415">
        <f t="shared" si="364"/>
        <v>-2.405818641357198</v>
      </c>
      <c r="BA415">
        <f t="shared" si="345"/>
        <v>1.4577510511073513</v>
      </c>
      <c r="BB415">
        <f t="shared" si="357"/>
        <v>3.2736672648005256</v>
      </c>
      <c r="BC415">
        <f t="shared" si="358"/>
        <v>-0.57844453556640207</v>
      </c>
      <c r="BD415">
        <f t="shared" si="346"/>
        <v>-213.14243060823063</v>
      </c>
      <c r="BF415">
        <f t="shared" si="347"/>
        <v>-48.900067490501499</v>
      </c>
      <c r="BG415">
        <f t="shared" si="348"/>
        <v>-180.47987616855454</v>
      </c>
      <c r="BH415">
        <f t="shared" si="359"/>
        <v>-0.47987616855454007</v>
      </c>
      <c r="BI415">
        <f t="shared" si="360"/>
        <v>-0.47987616855454007</v>
      </c>
      <c r="BJ415">
        <f t="shared" si="349"/>
        <v>0</v>
      </c>
      <c r="BK415">
        <f t="shared" si="361"/>
        <v>0</v>
      </c>
      <c r="BM415">
        <f t="shared" si="362"/>
        <v>-52.173734755302021</v>
      </c>
      <c r="BN415">
        <f t="shared" si="350"/>
        <v>-147.33744556032391</v>
      </c>
      <c r="BQ415" s="56">
        <f t="shared" si="363"/>
        <v>20.175628065085661</v>
      </c>
    </row>
    <row r="416" spans="1:81" x14ac:dyDescent="0.2">
      <c r="A416">
        <f t="shared" si="319"/>
        <v>1010000</v>
      </c>
      <c r="B416">
        <f t="shared" si="351"/>
        <v>1010</v>
      </c>
      <c r="C416">
        <f t="shared" si="320"/>
        <v>1.1843645287924247</v>
      </c>
      <c r="D416">
        <f t="shared" si="321"/>
        <v>0.56547414334665735</v>
      </c>
      <c r="F416">
        <f t="shared" si="322"/>
        <v>1.3741751225659264E-4</v>
      </c>
      <c r="G416">
        <f t="shared" si="323"/>
        <v>6.8039425560814971E-3</v>
      </c>
      <c r="H416">
        <f t="shared" si="324"/>
        <v>-3.1347887074439189</v>
      </c>
      <c r="J416">
        <f t="shared" si="325"/>
        <v>15</v>
      </c>
      <c r="M416">
        <f t="shared" si="326"/>
        <v>7.898704348681425E-4</v>
      </c>
      <c r="N416">
        <f t="shared" si="327"/>
        <v>-1.5707963250000001</v>
      </c>
      <c r="O416">
        <f t="shared" si="328"/>
        <v>114.23268586879655</v>
      </c>
      <c r="P416">
        <f t="shared" si="329"/>
        <v>1.5620421531089552</v>
      </c>
      <c r="Q416">
        <f t="shared" si="330"/>
        <v>120.19518644331278</v>
      </c>
      <c r="R416">
        <f t="shared" si="331"/>
        <v>1.5624764300796898</v>
      </c>
      <c r="S416">
        <f t="shared" si="332"/>
        <v>0.96984459341037788</v>
      </c>
      <c r="T416">
        <f t="shared" si="333"/>
        <v>-0.24620396165567027</v>
      </c>
      <c r="U416">
        <f t="shared" si="334"/>
        <v>0.16407925692790651</v>
      </c>
      <c r="V416">
        <f t="shared" si="335"/>
        <v>-1.4059717812907802</v>
      </c>
      <c r="X416">
        <f t="shared" si="352"/>
        <v>-47.507842307270764</v>
      </c>
      <c r="Y416">
        <f t="shared" si="336"/>
        <v>-152.85185009390443</v>
      </c>
      <c r="Z416">
        <f t="shared" si="353"/>
        <v>27.148149906095568</v>
      </c>
      <c r="AC416">
        <v>1</v>
      </c>
      <c r="AD416">
        <f t="shared" si="337"/>
        <v>114.22830875400001</v>
      </c>
      <c r="AE416">
        <f t="shared" si="338"/>
        <v>-0.72489480671106432</v>
      </c>
      <c r="AF416">
        <f t="shared" si="339"/>
        <v>0.120574325907</v>
      </c>
      <c r="AG416">
        <f t="shared" si="315"/>
        <v>24.162683732688414</v>
      </c>
      <c r="AH416">
        <f t="shared" si="316"/>
        <v>-153.56008681573584</v>
      </c>
      <c r="AJ416">
        <f t="shared" si="340"/>
        <v>10500</v>
      </c>
      <c r="AK416">
        <f t="shared" si="341"/>
        <v>2638.6739322174003</v>
      </c>
      <c r="AL416">
        <v>1</v>
      </c>
      <c r="AM416">
        <f t="shared" si="342"/>
        <v>120.19102647095882</v>
      </c>
      <c r="AN416">
        <f t="shared" si="317"/>
        <v>22.679281888702338</v>
      </c>
      <c r="AO416">
        <f t="shared" si="318"/>
        <v>-87.172237609959012</v>
      </c>
      <c r="AQ416">
        <f t="shared" si="343"/>
        <v>2.4507395229047342E-3</v>
      </c>
      <c r="AR416">
        <f t="shared" si="344"/>
        <v>-4.9504938362675626</v>
      </c>
      <c r="AT416">
        <f t="shared" si="365"/>
        <v>-760.13904683400892</v>
      </c>
      <c r="AU416">
        <f t="shared" si="366"/>
        <v>-119.99355266025651</v>
      </c>
      <c r="AV416">
        <f t="shared" si="354"/>
        <v>-2.9850272323071088</v>
      </c>
      <c r="AW416">
        <f t="shared" si="355"/>
        <v>-391.06717037776002</v>
      </c>
      <c r="AX416">
        <f t="shared" si="356"/>
        <v>-356.01407992639503</v>
      </c>
      <c r="AY416">
        <f t="shared" si="364"/>
        <v>-2.4030801553563741</v>
      </c>
      <c r="BA416">
        <f t="shared" si="345"/>
        <v>1.4551489224603997</v>
      </c>
      <c r="BB416">
        <f t="shared" si="357"/>
        <v>3.2581488409145747</v>
      </c>
      <c r="BC416">
        <f t="shared" si="358"/>
        <v>-0.58194707695073467</v>
      </c>
      <c r="BD416">
        <f t="shared" si="346"/>
        <v>-213.3431114473521</v>
      </c>
      <c r="BF416">
        <f t="shared" si="347"/>
        <v>-48.989476498213051</v>
      </c>
      <c r="BG416">
        <f t="shared" si="348"/>
        <v>-180.55399237983298</v>
      </c>
      <c r="BH416">
        <f t="shared" si="359"/>
        <v>-0.55399237983297667</v>
      </c>
      <c r="BI416">
        <f t="shared" si="360"/>
        <v>-0.55399237983297667</v>
      </c>
      <c r="BJ416">
        <f t="shared" si="349"/>
        <v>0</v>
      </c>
      <c r="BK416">
        <f t="shared" si="361"/>
        <v>0</v>
      </c>
      <c r="BM416">
        <f t="shared" si="362"/>
        <v>-52.247625339127623</v>
      </c>
      <c r="BN416">
        <f t="shared" si="350"/>
        <v>-147.21088093248088</v>
      </c>
      <c r="BQ416" s="56">
        <f t="shared" si="363"/>
        <v>20.16010964119971</v>
      </c>
    </row>
    <row r="417" spans="1:69" x14ac:dyDescent="0.2">
      <c r="A417">
        <f t="shared" si="319"/>
        <v>1015000</v>
      </c>
      <c r="B417">
        <f t="shared" si="351"/>
        <v>1015</v>
      </c>
      <c r="C417">
        <f t="shared" si="320"/>
        <v>1.1860508112366048</v>
      </c>
      <c r="D417">
        <f t="shared" si="321"/>
        <v>0.56771060546991448</v>
      </c>
      <c r="F417">
        <f t="shared" si="322"/>
        <v>1.3606682330793066E-4</v>
      </c>
      <c r="G417">
        <f t="shared" si="323"/>
        <v>6.7704172979752893E-3</v>
      </c>
      <c r="H417">
        <f t="shared" si="324"/>
        <v>-3.134822232702025</v>
      </c>
      <c r="J417">
        <f t="shared" si="325"/>
        <v>15</v>
      </c>
      <c r="M417">
        <f t="shared" si="326"/>
        <v>7.8597944750426023E-4</v>
      </c>
      <c r="N417">
        <f t="shared" si="327"/>
        <v>-1.5707963250000001</v>
      </c>
      <c r="O417">
        <f t="shared" si="328"/>
        <v>114.79815098447482</v>
      </c>
      <c r="P417">
        <f t="shared" si="329"/>
        <v>1.5620852749303247</v>
      </c>
      <c r="Q417">
        <f t="shared" si="330"/>
        <v>120.79017103308155</v>
      </c>
      <c r="R417">
        <f t="shared" si="331"/>
        <v>1.5625174129152237</v>
      </c>
      <c r="S417">
        <f t="shared" si="332"/>
        <v>0.96955881487808371</v>
      </c>
      <c r="T417">
        <f t="shared" si="333"/>
        <v>-0.24737378818324682</v>
      </c>
      <c r="U417">
        <f t="shared" si="334"/>
        <v>0.16329258879337955</v>
      </c>
      <c r="V417">
        <f t="shared" si="335"/>
        <v>-1.4067692046935916</v>
      </c>
      <c r="X417">
        <f t="shared" si="352"/>
        <v>-47.582697756590164</v>
      </c>
      <c r="Y417">
        <f t="shared" si="336"/>
        <v>-152.83352738535723</v>
      </c>
      <c r="Z417">
        <f t="shared" si="353"/>
        <v>27.166472614642771</v>
      </c>
      <c r="AC417">
        <v>1</v>
      </c>
      <c r="AD417">
        <f t="shared" si="337"/>
        <v>114.79379543100001</v>
      </c>
      <c r="AE417">
        <f t="shared" si="338"/>
        <v>-0.73208974830301543</v>
      </c>
      <c r="AF417">
        <f t="shared" si="339"/>
        <v>0.12117122851049998</v>
      </c>
      <c r="AG417">
        <f t="shared" si="315"/>
        <v>23.931546082463619</v>
      </c>
      <c r="AH417">
        <f t="shared" si="316"/>
        <v>-152.84188974289364</v>
      </c>
      <c r="AJ417">
        <f t="shared" si="340"/>
        <v>10500</v>
      </c>
      <c r="AK417">
        <f t="shared" si="341"/>
        <v>2651.7366744561004</v>
      </c>
      <c r="AL417">
        <v>1</v>
      </c>
      <c r="AM417">
        <f t="shared" si="342"/>
        <v>120.78603155249822</v>
      </c>
      <c r="AN417">
        <f t="shared" si="317"/>
        <v>22.672154354170502</v>
      </c>
      <c r="AO417">
        <f t="shared" si="318"/>
        <v>-86.742876729847552</v>
      </c>
      <c r="AQ417">
        <f t="shared" si="343"/>
        <v>2.4266537827528495E-3</v>
      </c>
      <c r="AR417">
        <f t="shared" si="344"/>
        <v>-4.9261071789882847</v>
      </c>
      <c r="AT417">
        <f t="shared" si="365"/>
        <v>-752.85745673577605</v>
      </c>
      <c r="AU417">
        <f t="shared" si="366"/>
        <v>-118.26025531102069</v>
      </c>
      <c r="AV417">
        <f t="shared" si="354"/>
        <v>-2.9857839725554682</v>
      </c>
      <c r="AW417">
        <f t="shared" si="355"/>
        <v>-387.00367262644164</v>
      </c>
      <c r="AX417">
        <f t="shared" si="356"/>
        <v>-354.25129676380425</v>
      </c>
      <c r="AY417">
        <f t="shared" si="364"/>
        <v>-2.400350803208168</v>
      </c>
      <c r="BA417">
        <f t="shared" si="345"/>
        <v>1.4525450764231662</v>
      </c>
      <c r="BB417">
        <f t="shared" si="357"/>
        <v>3.2425923722020897</v>
      </c>
      <c r="BC417">
        <f t="shared" si="358"/>
        <v>-0.58543316934730028</v>
      </c>
      <c r="BD417">
        <f t="shared" si="346"/>
        <v>-213.54284982889618</v>
      </c>
      <c r="BF417">
        <f t="shared" si="347"/>
        <v>-49.078471636150027</v>
      </c>
      <c r="BG417">
        <f t="shared" si="348"/>
        <v>-180.62751177632589</v>
      </c>
      <c r="BH417">
        <f t="shared" si="359"/>
        <v>-0.62751177632588906</v>
      </c>
      <c r="BI417">
        <f t="shared" si="360"/>
        <v>-0.62751177632588906</v>
      </c>
      <c r="BJ417">
        <f t="shared" si="349"/>
        <v>0</v>
      </c>
      <c r="BK417">
        <f t="shared" si="361"/>
        <v>0</v>
      </c>
      <c r="BM417">
        <f t="shared" si="362"/>
        <v>-52.32106400835211</v>
      </c>
      <c r="BN417">
        <f t="shared" si="350"/>
        <v>-147.08466194742971</v>
      </c>
      <c r="BQ417" s="56">
        <f t="shared" si="363"/>
        <v>20.144553172487228</v>
      </c>
    </row>
    <row r="418" spans="1:69" x14ac:dyDescent="0.2">
      <c r="A418">
        <f t="shared" si="319"/>
        <v>1020000</v>
      </c>
      <c r="B418">
        <f t="shared" si="351"/>
        <v>1020</v>
      </c>
      <c r="C418">
        <f t="shared" si="320"/>
        <v>1.1877430091636287</v>
      </c>
      <c r="D418">
        <f t="shared" si="321"/>
        <v>0.56994070606894465</v>
      </c>
      <c r="F418">
        <f t="shared" si="322"/>
        <v>1.3473595174652746E-4</v>
      </c>
      <c r="G418">
        <f t="shared" si="323"/>
        <v>6.7372208400456194E-3</v>
      </c>
      <c r="H418">
        <f t="shared" si="324"/>
        <v>-3.1348554291599546</v>
      </c>
      <c r="J418">
        <f t="shared" si="325"/>
        <v>15</v>
      </c>
      <c r="M418">
        <f t="shared" si="326"/>
        <v>7.8212660707531771E-4</v>
      </c>
      <c r="N418">
        <f t="shared" si="327"/>
        <v>-1.5707963250000001</v>
      </c>
      <c r="O418">
        <f t="shared" si="328"/>
        <v>115.3636163115266</v>
      </c>
      <c r="P418">
        <f t="shared" si="329"/>
        <v>1.5621279740206619</v>
      </c>
      <c r="Q418">
        <f t="shared" si="330"/>
        <v>121.38515582373974</v>
      </c>
      <c r="R418">
        <f t="shared" si="331"/>
        <v>1.5625579939856562</v>
      </c>
      <c r="S418">
        <f t="shared" si="332"/>
        <v>0.96927187944380722</v>
      </c>
      <c r="T418">
        <f t="shared" si="333"/>
        <v>-0.24854292390293445</v>
      </c>
      <c r="U418">
        <f t="shared" si="334"/>
        <v>0.16251332606682112</v>
      </c>
      <c r="V418">
        <f t="shared" si="335"/>
        <v>-1.4075590176878716</v>
      </c>
      <c r="X418">
        <f t="shared" si="352"/>
        <v>-47.657133391524084</v>
      </c>
      <c r="Y418">
        <f t="shared" si="336"/>
        <v>-152.81512194192001</v>
      </c>
      <c r="Z418">
        <f t="shared" si="353"/>
        <v>27.184878058079988</v>
      </c>
      <c r="AC418">
        <v>1</v>
      </c>
      <c r="AD418">
        <f t="shared" si="337"/>
        <v>115.359282108</v>
      </c>
      <c r="AE418">
        <f t="shared" si="338"/>
        <v>-0.73932022047072943</v>
      </c>
      <c r="AF418">
        <f t="shared" si="339"/>
        <v>0.12176813111399999</v>
      </c>
      <c r="AG418">
        <f t="shared" si="315"/>
        <v>23.703679480258991</v>
      </c>
      <c r="AH418">
        <f t="shared" si="316"/>
        <v>-152.13019506696494</v>
      </c>
      <c r="AJ418">
        <f t="shared" si="340"/>
        <v>10500</v>
      </c>
      <c r="AK418">
        <f t="shared" si="341"/>
        <v>2664.7994166948006</v>
      </c>
      <c r="AL418">
        <v>1</v>
      </c>
      <c r="AM418">
        <f t="shared" si="342"/>
        <v>121.3810366340376</v>
      </c>
      <c r="AN418">
        <f t="shared" si="317"/>
        <v>22.665131369722751</v>
      </c>
      <c r="AO418">
        <f t="shared" si="318"/>
        <v>-86.317724408791463</v>
      </c>
      <c r="AQ418">
        <f t="shared" si="343"/>
        <v>2.402921375691711E-3</v>
      </c>
      <c r="AR418">
        <f t="shared" si="344"/>
        <v>-4.90195960641109</v>
      </c>
      <c r="AT418">
        <f t="shared" si="365"/>
        <v>-745.67911305559608</v>
      </c>
      <c r="AU418">
        <f t="shared" si="366"/>
        <v>-116.56003623315955</v>
      </c>
      <c r="AV418">
        <f t="shared" si="354"/>
        <v>-2.9865335012178349</v>
      </c>
      <c r="AW418">
        <f t="shared" si="355"/>
        <v>-382.99986761192741</v>
      </c>
      <c r="AX418">
        <f t="shared" si="356"/>
        <v>-352.50594189389398</v>
      </c>
      <c r="AY418">
        <f t="shared" si="364"/>
        <v>-2.3976305620276746</v>
      </c>
      <c r="BA418">
        <f t="shared" si="345"/>
        <v>1.4499396735106118</v>
      </c>
      <c r="BB418">
        <f t="shared" si="357"/>
        <v>3.2269986652998228</v>
      </c>
      <c r="BC418">
        <f t="shared" si="358"/>
        <v>-0.58890293919016035</v>
      </c>
      <c r="BD418">
        <f t="shared" si="346"/>
        <v>-213.74165299700101</v>
      </c>
      <c r="BF418">
        <f t="shared" si="347"/>
        <v>-49.167056605664172</v>
      </c>
      <c r="BG418">
        <f t="shared" si="348"/>
        <v>-180.70044160900702</v>
      </c>
      <c r="BH418">
        <f t="shared" si="359"/>
        <v>-0.70044160900701513</v>
      </c>
      <c r="BI418">
        <f t="shared" si="360"/>
        <v>-0.70044160900701513</v>
      </c>
      <c r="BJ418">
        <f t="shared" si="349"/>
        <v>0</v>
      </c>
      <c r="BK418">
        <f t="shared" si="361"/>
        <v>0</v>
      </c>
      <c r="BM418">
        <f t="shared" si="362"/>
        <v>-52.394055270963989</v>
      </c>
      <c r="BN418">
        <f t="shared" si="350"/>
        <v>-146.958788612006</v>
      </c>
      <c r="BQ418" s="56">
        <f t="shared" si="363"/>
        <v>20.128959465584959</v>
      </c>
    </row>
    <row r="419" spans="1:69" x14ac:dyDescent="0.2">
      <c r="A419">
        <f t="shared" si="319"/>
        <v>1025000</v>
      </c>
      <c r="B419">
        <f t="shared" si="351"/>
        <v>1025</v>
      </c>
      <c r="C419">
        <f t="shared" si="320"/>
        <v>1.1894410973259215</v>
      </c>
      <c r="D419">
        <f t="shared" si="321"/>
        <v>0.57216445016025363</v>
      </c>
      <c r="F419">
        <f t="shared" si="322"/>
        <v>1.3342451176293014E-4</v>
      </c>
      <c r="G419">
        <f t="shared" si="323"/>
        <v>6.7043483682350524E-3</v>
      </c>
      <c r="H419">
        <f t="shared" si="324"/>
        <v>-3.134888301631765</v>
      </c>
      <c r="J419">
        <f t="shared" si="325"/>
        <v>15</v>
      </c>
      <c r="M419">
        <f t="shared" si="326"/>
        <v>7.7831135533348687E-4</v>
      </c>
      <c r="N419">
        <f t="shared" si="327"/>
        <v>-1.5707963250000001</v>
      </c>
      <c r="O419">
        <f t="shared" si="328"/>
        <v>115.92908184685889</v>
      </c>
      <c r="P419">
        <f t="shared" si="329"/>
        <v>1.5621702565656572</v>
      </c>
      <c r="Q419">
        <f t="shared" si="330"/>
        <v>121.98014081234773</v>
      </c>
      <c r="R419">
        <f t="shared" si="331"/>
        <v>1.5625981791699457</v>
      </c>
      <c r="S419">
        <f t="shared" si="332"/>
        <v>0.96898379048656236</v>
      </c>
      <c r="T419">
        <f t="shared" si="333"/>
        <v>-0.24971136623316328</v>
      </c>
      <c r="U419">
        <f t="shared" si="334"/>
        <v>0.16174136612793266</v>
      </c>
      <c r="V419">
        <f t="shared" si="335"/>
        <v>-1.4083413277325179</v>
      </c>
      <c r="X419">
        <f t="shared" si="352"/>
        <v>-47.731153322768506</v>
      </c>
      <c r="Y419">
        <f t="shared" si="336"/>
        <v>-152.79663906976802</v>
      </c>
      <c r="Z419">
        <f t="shared" si="353"/>
        <v>27.20336093023198</v>
      </c>
      <c r="AC419">
        <v>1</v>
      </c>
      <c r="AD419">
        <f t="shared" si="337"/>
        <v>115.924768785</v>
      </c>
      <c r="AE419">
        <f t="shared" si="338"/>
        <v>-0.74658622321420631</v>
      </c>
      <c r="AF419">
        <f t="shared" si="339"/>
        <v>0.1223650337175</v>
      </c>
      <c r="AG419">
        <f t="shared" si="315"/>
        <v>23.479023056745991</v>
      </c>
      <c r="AH419">
        <f t="shared" si="316"/>
        <v>-151.42491760736809</v>
      </c>
      <c r="AJ419">
        <f t="shared" si="340"/>
        <v>10500</v>
      </c>
      <c r="AK419">
        <f t="shared" si="341"/>
        <v>2677.8621589335003</v>
      </c>
      <c r="AL419">
        <v>1</v>
      </c>
      <c r="AM419">
        <f t="shared" si="342"/>
        <v>121.97604171557701</v>
      </c>
      <c r="AN419">
        <f t="shared" si="317"/>
        <v>22.658210900570289</v>
      </c>
      <c r="AO419">
        <f t="shared" si="318"/>
        <v>-85.896719074803485</v>
      </c>
      <c r="AQ419">
        <f t="shared" si="343"/>
        <v>2.3795354242628379E-3</v>
      </c>
      <c r="AR419">
        <f t="shared" si="344"/>
        <v>-4.8780476197388172</v>
      </c>
      <c r="AT419">
        <f t="shared" si="365"/>
        <v>-738.60208973667784</v>
      </c>
      <c r="AU419">
        <f t="shared" si="366"/>
        <v>-114.8921134913154</v>
      </c>
      <c r="AV419">
        <f t="shared" si="354"/>
        <v>-2.9872759199172969</v>
      </c>
      <c r="AW419">
        <f t="shared" si="355"/>
        <v>-379.0545915296575</v>
      </c>
      <c r="AX419">
        <f t="shared" si="356"/>
        <v>-350.77775710230776</v>
      </c>
      <c r="AY419">
        <f t="shared" si="364"/>
        <v>-2.3949194086452343</v>
      </c>
      <c r="BA419">
        <f t="shared" si="345"/>
        <v>1.4473328711673579</v>
      </c>
      <c r="BB419">
        <f t="shared" si="357"/>
        <v>3.211368514375077</v>
      </c>
      <c r="BC419">
        <f t="shared" si="358"/>
        <v>-0.59235651127206257</v>
      </c>
      <c r="BD419">
        <f t="shared" si="346"/>
        <v>-213.93952810176432</v>
      </c>
      <c r="BF419">
        <f t="shared" si="347"/>
        <v>-49.255235057470074</v>
      </c>
      <c r="BG419">
        <f t="shared" si="348"/>
        <v>-180.77278901637462</v>
      </c>
      <c r="BH419">
        <f t="shared" si="359"/>
        <v>-0.77278901637461672</v>
      </c>
      <c r="BI419">
        <f t="shared" si="360"/>
        <v>-0.77278901637461672</v>
      </c>
      <c r="BJ419">
        <f t="shared" si="349"/>
        <v>0</v>
      </c>
      <c r="BK419">
        <f t="shared" si="361"/>
        <v>0</v>
      </c>
      <c r="BM419">
        <f t="shared" si="362"/>
        <v>-52.466603571845155</v>
      </c>
      <c r="BN419">
        <f t="shared" si="350"/>
        <v>-146.83326091461029</v>
      </c>
      <c r="BQ419" s="56">
        <f t="shared" si="363"/>
        <v>20.113329314660213</v>
      </c>
    </row>
    <row r="420" spans="1:69" x14ac:dyDescent="0.2">
      <c r="A420">
        <f t="shared" si="319"/>
        <v>1030000</v>
      </c>
      <c r="B420">
        <f t="shared" si="351"/>
        <v>1030</v>
      </c>
      <c r="C420">
        <f t="shared" si="320"/>
        <v>1.1911450505322474</v>
      </c>
      <c r="D420">
        <f t="shared" si="321"/>
        <v>0.57438184298325545</v>
      </c>
      <c r="F420">
        <f t="shared" si="322"/>
        <v>1.3213212689132557E-4</v>
      </c>
      <c r="G420">
        <f t="shared" si="323"/>
        <v>6.6717951620195743E-3</v>
      </c>
      <c r="H420">
        <f t="shared" si="324"/>
        <v>-3.1349208548379806</v>
      </c>
      <c r="J420">
        <f t="shared" si="325"/>
        <v>15</v>
      </c>
      <c r="M420">
        <f t="shared" si="326"/>
        <v>7.7453314487070288E-4</v>
      </c>
      <c r="N420">
        <f t="shared" si="327"/>
        <v>-1.5707963250000001</v>
      </c>
      <c r="O420">
        <f t="shared" si="328"/>
        <v>116.4945475874387</v>
      </c>
      <c r="P420">
        <f t="shared" si="329"/>
        <v>1.5622121286309039</v>
      </c>
      <c r="Q420">
        <f t="shared" si="330"/>
        <v>122.57512599602293</v>
      </c>
      <c r="R420">
        <f t="shared" si="331"/>
        <v>1.5626379742329093</v>
      </c>
      <c r="S420">
        <f t="shared" si="332"/>
        <v>0.96869455139343308</v>
      </c>
      <c r="T420">
        <f t="shared" si="333"/>
        <v>-0.25087911260299811</v>
      </c>
      <c r="U420">
        <f t="shared" si="334"/>
        <v>0.16097660821589704</v>
      </c>
      <c r="V420">
        <f t="shared" si="335"/>
        <v>-1.4091162402911765</v>
      </c>
      <c r="X420">
        <f t="shared" si="352"/>
        <v>-47.804761606435619</v>
      </c>
      <c r="Y420">
        <f t="shared" si="336"/>
        <v>-152.7780839566567</v>
      </c>
      <c r="Z420">
        <f t="shared" si="353"/>
        <v>27.221916043343299</v>
      </c>
      <c r="AC420">
        <v>1</v>
      </c>
      <c r="AD420">
        <f t="shared" si="337"/>
        <v>116.49025546200001</v>
      </c>
      <c r="AE420">
        <f t="shared" si="338"/>
        <v>-0.75388775653344564</v>
      </c>
      <c r="AF420">
        <f t="shared" si="339"/>
        <v>0.12296193632099998</v>
      </c>
      <c r="AG420">
        <f t="shared" si="315"/>
        <v>23.257517338595534</v>
      </c>
      <c r="AH420">
        <f t="shared" si="316"/>
        <v>-150.7259736098207</v>
      </c>
      <c r="AJ420">
        <f t="shared" si="340"/>
        <v>10500</v>
      </c>
      <c r="AK420">
        <f t="shared" si="341"/>
        <v>2690.9249011722004</v>
      </c>
      <c r="AL420">
        <v>1</v>
      </c>
      <c r="AM420">
        <f t="shared" si="342"/>
        <v>122.57104679711642</v>
      </c>
      <c r="AN420">
        <f t="shared" si="317"/>
        <v>22.651390961185662</v>
      </c>
      <c r="AO420">
        <f t="shared" si="318"/>
        <v>-85.479800351067098</v>
      </c>
      <c r="AQ420">
        <f t="shared" si="343"/>
        <v>2.3564892175301118E-3</v>
      </c>
      <c r="AR420">
        <f t="shared" si="344"/>
        <v>-4.8543677881120306</v>
      </c>
      <c r="AT420">
        <f t="shared" si="365"/>
        <v>-731.6245050345027</v>
      </c>
      <c r="AU420">
        <f t="shared" si="366"/>
        <v>-113.25572713154847</v>
      </c>
      <c r="AV420">
        <f t="shared" si="354"/>
        <v>-2.9880113283949932</v>
      </c>
      <c r="AW420">
        <f t="shared" si="355"/>
        <v>-375.16670880705664</v>
      </c>
      <c r="AX420">
        <f t="shared" si="356"/>
        <v>-349.06648927414642</v>
      </c>
      <c r="AY420">
        <f t="shared" si="364"/>
        <v>-2.3922173196144261</v>
      </c>
      <c r="BA420">
        <f t="shared" si="345"/>
        <v>1.444724823825563</v>
      </c>
      <c r="BB420">
        <f t="shared" si="357"/>
        <v>3.1957027013716148</v>
      </c>
      <c r="BC420">
        <f t="shared" si="358"/>
        <v>-0.5957940087805671</v>
      </c>
      <c r="BD420">
        <f t="shared" si="346"/>
        <v>-214.13648220131341</v>
      </c>
      <c r="BF420">
        <f t="shared" si="347"/>
        <v>-49.343010592588179</v>
      </c>
      <c r="BG420">
        <f t="shared" si="348"/>
        <v>-180.84456102682586</v>
      </c>
      <c r="BH420">
        <f t="shared" si="359"/>
        <v>-0.84456102682585765</v>
      </c>
      <c r="BI420">
        <f t="shared" si="360"/>
        <v>-0.84456102682585765</v>
      </c>
      <c r="BJ420">
        <f t="shared" si="349"/>
        <v>0</v>
      </c>
      <c r="BK420">
        <f t="shared" si="361"/>
        <v>0</v>
      </c>
      <c r="BM420">
        <f t="shared" si="362"/>
        <v>-52.538713293959802</v>
      </c>
      <c r="BN420">
        <f t="shared" si="350"/>
        <v>-146.70807882551242</v>
      </c>
      <c r="BQ420" s="56">
        <f t="shared" si="363"/>
        <v>20.097663501656751</v>
      </c>
    </row>
    <row r="421" spans="1:69" x14ac:dyDescent="0.2">
      <c r="A421">
        <f t="shared" si="319"/>
        <v>1035000</v>
      </c>
      <c r="B421">
        <f t="shared" si="351"/>
        <v>1035</v>
      </c>
      <c r="C421">
        <f t="shared" si="320"/>
        <v>1.1928548436485491</v>
      </c>
      <c r="D421">
        <f t="shared" si="321"/>
        <v>0.57659288999730274</v>
      </c>
      <c r="F421">
        <f t="shared" si="322"/>
        <v>1.3085842973929561E-4</v>
      </c>
      <c r="G421">
        <f t="shared" si="323"/>
        <v>6.6395565921476994E-3</v>
      </c>
      <c r="H421">
        <f t="shared" si="324"/>
        <v>-3.1349530934078524</v>
      </c>
      <c r="J421">
        <f t="shared" si="325"/>
        <v>15</v>
      </c>
      <c r="M421">
        <f t="shared" si="326"/>
        <v>7.7079143885683482E-4</v>
      </c>
      <c r="N421">
        <f t="shared" si="327"/>
        <v>-1.5707963250000001</v>
      </c>
      <c r="O421">
        <f t="shared" si="328"/>
        <v>117.06001353029163</v>
      </c>
      <c r="P421">
        <f t="shared" si="329"/>
        <v>1.5622535961648008</v>
      </c>
      <c r="Q421">
        <f t="shared" si="330"/>
        <v>123.17011137193849</v>
      </c>
      <c r="R421">
        <f t="shared" si="331"/>
        <v>1.5626773848279787</v>
      </c>
      <c r="S421">
        <f t="shared" si="332"/>
        <v>0.96840416555947484</v>
      </c>
      <c r="T421">
        <f t="shared" si="333"/>
        <v>-0.25204616045215739</v>
      </c>
      <c r="U421">
        <f t="shared" si="334"/>
        <v>0.16021895338812003</v>
      </c>
      <c r="V421">
        <f t="shared" si="335"/>
        <v>-1.4098838588779059</v>
      </c>
      <c r="X421">
        <f t="shared" si="352"/>
        <v>-47.877962245007254</v>
      </c>
      <c r="Y421">
        <f t="shared" si="336"/>
        <v>-152.75946167451406</v>
      </c>
      <c r="Z421">
        <f t="shared" si="353"/>
        <v>27.240538325485943</v>
      </c>
      <c r="AC421">
        <v>1</v>
      </c>
      <c r="AD421">
        <f t="shared" si="337"/>
        <v>117.055742139</v>
      </c>
      <c r="AE421">
        <f t="shared" si="338"/>
        <v>-0.76122482042844797</v>
      </c>
      <c r="AF421">
        <f t="shared" si="339"/>
        <v>0.12355883892449999</v>
      </c>
      <c r="AG421">
        <f t="shared" si="315"/>
        <v>23.039104210609974</v>
      </c>
      <c r="AH421">
        <f t="shared" si="316"/>
        <v>-150.03328071803418</v>
      </c>
      <c r="AJ421">
        <f t="shared" si="340"/>
        <v>10500</v>
      </c>
      <c r="AK421">
        <f t="shared" si="341"/>
        <v>2703.9876434109001</v>
      </c>
      <c r="AL421">
        <v>1</v>
      </c>
      <c r="AM421">
        <f t="shared" si="342"/>
        <v>123.16605187865582</v>
      </c>
      <c r="AN421">
        <f t="shared" si="317"/>
        <v>22.644669613878492</v>
      </c>
      <c r="AO421">
        <f t="shared" si="318"/>
        <v>-85.06690902707912</v>
      </c>
      <c r="AQ421">
        <f t="shared" si="343"/>
        <v>2.3337762062647423E-3</v>
      </c>
      <c r="AR421">
        <f t="shared" si="344"/>
        <v>-4.8309167469680165</v>
      </c>
      <c r="AT421">
        <f t="shared" si="365"/>
        <v>-724.74452031008457</v>
      </c>
      <c r="AU421">
        <f t="shared" si="366"/>
        <v>-111.65013846686466</v>
      </c>
      <c r="AV421">
        <f t="shared" si="354"/>
        <v>-2.9887398245530399</v>
      </c>
      <c r="AW421">
        <f t="shared" si="355"/>
        <v>-371.33511128550236</v>
      </c>
      <c r="AX421">
        <f t="shared" si="356"/>
        <v>-347.3718902680323</v>
      </c>
      <c r="AY421">
        <f t="shared" si="364"/>
        <v>-2.3895242712199263</v>
      </c>
      <c r="BA421">
        <f t="shared" si="345"/>
        <v>1.4421156829613777</v>
      </c>
      <c r="BB421">
        <f t="shared" si="357"/>
        <v>3.1800019962485009</v>
      </c>
      <c r="BC421">
        <f t="shared" si="358"/>
        <v>-0.5992155533331136</v>
      </c>
      <c r="BD421">
        <f t="shared" si="346"/>
        <v>-214.33252226381433</v>
      </c>
      <c r="BF421">
        <f t="shared" si="347"/>
        <v>-49.430386763266256</v>
      </c>
      <c r="BG421">
        <f t="shared" si="348"/>
        <v>-180.91576456096539</v>
      </c>
      <c r="BH421">
        <f t="shared" si="359"/>
        <v>-0.9157645609653855</v>
      </c>
      <c r="BI421">
        <f t="shared" si="360"/>
        <v>-0.9157645609653855</v>
      </c>
      <c r="BJ421">
        <f t="shared" si="349"/>
        <v>0</v>
      </c>
      <c r="BK421">
        <f t="shared" si="361"/>
        <v>0</v>
      </c>
      <c r="BM421">
        <f t="shared" si="362"/>
        <v>-52.610388759514763</v>
      </c>
      <c r="BN421">
        <f t="shared" si="350"/>
        <v>-146.58324229715106</v>
      </c>
      <c r="BQ421" s="56">
        <f t="shared" si="363"/>
        <v>20.081962796533638</v>
      </c>
    </row>
    <row r="422" spans="1:69" x14ac:dyDescent="0.2">
      <c r="A422">
        <f t="shared" si="319"/>
        <v>1040000</v>
      </c>
      <c r="B422">
        <f t="shared" si="351"/>
        <v>1040</v>
      </c>
      <c r="C422">
        <f t="shared" si="320"/>
        <v>1.1945704515987727</v>
      </c>
      <c r="D422">
        <f t="shared" si="321"/>
        <v>0.57879759687872823</v>
      </c>
      <c r="F422">
        <f t="shared" si="322"/>
        <v>1.2960306172664785E-4</v>
      </c>
      <c r="G422">
        <f t="shared" si="323"/>
        <v>6.6076281184448554E-3</v>
      </c>
      <c r="H422">
        <f t="shared" si="324"/>
        <v>-3.1349850218815551</v>
      </c>
      <c r="J422">
        <f t="shared" si="325"/>
        <v>15</v>
      </c>
      <c r="M422">
        <f t="shared" si="326"/>
        <v>7.6708571078540767E-4</v>
      </c>
      <c r="N422">
        <f t="shared" si="327"/>
        <v>-1.5707963250000001</v>
      </c>
      <c r="O422">
        <f t="shared" si="328"/>
        <v>117.62547967250049</v>
      </c>
      <c r="P422">
        <f t="shared" si="329"/>
        <v>1.5622946650013685</v>
      </c>
      <c r="Q422">
        <f t="shared" si="330"/>
        <v>123.76509693732189</v>
      </c>
      <c r="R422">
        <f t="shared" si="331"/>
        <v>1.5627164164998772</v>
      </c>
      <c r="S422">
        <f t="shared" si="332"/>
        <v>0.96811263638761336</v>
      </c>
      <c r="T422">
        <f t="shared" si="333"/>
        <v>-0.253212507231033</v>
      </c>
      <c r="U422">
        <f t="shared" si="334"/>
        <v>0.1594683044800459</v>
      </c>
      <c r="V422">
        <f t="shared" si="335"/>
        <v>-1.4106442851016012</v>
      </c>
      <c r="X422">
        <f t="shared" si="352"/>
        <v>-47.95075918826722</v>
      </c>
      <c r="Y422">
        <f t="shared" si="336"/>
        <v>-152.74077718196813</v>
      </c>
      <c r="Z422">
        <f t="shared" si="353"/>
        <v>27.259222818031873</v>
      </c>
      <c r="AC422">
        <v>1</v>
      </c>
      <c r="AD422">
        <f t="shared" si="337"/>
        <v>117.621228816</v>
      </c>
      <c r="AE422">
        <f t="shared" si="338"/>
        <v>-0.76859741489921296</v>
      </c>
      <c r="AF422">
        <f t="shared" si="339"/>
        <v>0.12415574152799999</v>
      </c>
      <c r="AG422">
        <f t="shared" si="315"/>
        <v>22.823726879035881</v>
      </c>
      <c r="AH422">
        <f t="shared" si="316"/>
        <v>-149.3467579460347</v>
      </c>
      <c r="AJ422">
        <f t="shared" si="340"/>
        <v>10500</v>
      </c>
      <c r="AK422">
        <f t="shared" si="341"/>
        <v>2717.0503856496002</v>
      </c>
      <c r="AL422">
        <v>1</v>
      </c>
      <c r="AM422">
        <f t="shared" si="342"/>
        <v>123.76105696019521</v>
      </c>
      <c r="AN422">
        <f t="shared" si="317"/>
        <v>22.638044967419173</v>
      </c>
      <c r="AO422">
        <f t="shared" si="318"/>
        <v>-84.657987030624469</v>
      </c>
      <c r="AQ422">
        <f t="shared" si="343"/>
        <v>2.3113899982918828E-3</v>
      </c>
      <c r="AR422">
        <f t="shared" si="344"/>
        <v>-4.8076911964471165</v>
      </c>
      <c r="AT422">
        <f t="shared" si="365"/>
        <v>-717.9603388610376</v>
      </c>
      <c r="AU422">
        <f t="shared" si="366"/>
        <v>-110.07462938904801</v>
      </c>
      <c r="AV422">
        <f t="shared" si="354"/>
        <v>-2.9894615044962984</v>
      </c>
      <c r="AW422">
        <f t="shared" si="355"/>
        <v>-367.55871742981856</v>
      </c>
      <c r="AX422">
        <f t="shared" si="356"/>
        <v>-345.69371679391065</v>
      </c>
      <c r="AY422">
        <f t="shared" si="364"/>
        <v>-2.3868402394852302</v>
      </c>
      <c r="BA422">
        <f t="shared" si="345"/>
        <v>1.4395055971500397</v>
      </c>
      <c r="BB422">
        <f t="shared" si="357"/>
        <v>3.1642671572122119</v>
      </c>
      <c r="BC422">
        <f t="shared" si="358"/>
        <v>-0.60262126501106827</v>
      </c>
      <c r="BD422">
        <f t="shared" si="346"/>
        <v>-214.52765516942253</v>
      </c>
      <c r="BF422">
        <f t="shared" si="347"/>
        <v>-49.517367073879711</v>
      </c>
      <c r="BG422">
        <f t="shared" si="348"/>
        <v>-180.98640643385167</v>
      </c>
      <c r="BH422">
        <f t="shared" si="359"/>
        <v>-0.98640643385166982</v>
      </c>
      <c r="BI422">
        <f t="shared" si="360"/>
        <v>-0.98640643385166982</v>
      </c>
      <c r="BJ422">
        <f t="shared" si="349"/>
        <v>0</v>
      </c>
      <c r="BK422">
        <f t="shared" si="361"/>
        <v>0</v>
      </c>
      <c r="BM422">
        <f t="shared" si="362"/>
        <v>-52.68163423109192</v>
      </c>
      <c r="BN422">
        <f t="shared" si="350"/>
        <v>-146.45875126442917</v>
      </c>
      <c r="BQ422" s="56">
        <f t="shared" si="363"/>
        <v>20.066227957497347</v>
      </c>
    </row>
    <row r="423" spans="1:69" x14ac:dyDescent="0.2">
      <c r="A423">
        <f t="shared" si="319"/>
        <v>1045000</v>
      </c>
      <c r="B423">
        <f t="shared" si="351"/>
        <v>1045</v>
      </c>
      <c r="C423">
        <f t="shared" si="320"/>
        <v>1.196291849365674</v>
      </c>
      <c r="D423">
        <f t="shared" si="321"/>
        <v>0.58099596951789956</v>
      </c>
      <c r="F423">
        <f t="shared" si="322"/>
        <v>1.2836567283297536E-4</v>
      </c>
      <c r="G423">
        <f t="shared" si="323"/>
        <v>6.5760052876808498E-3</v>
      </c>
      <c r="H423">
        <f t="shared" si="324"/>
        <v>-3.1350166447123193</v>
      </c>
      <c r="J423">
        <f t="shared" si="325"/>
        <v>15</v>
      </c>
      <c r="M423">
        <f t="shared" si="326"/>
        <v>7.6341544422662579E-4</v>
      </c>
      <c r="N423">
        <f t="shared" si="327"/>
        <v>-1.5707963250000001</v>
      </c>
      <c r="O423">
        <f t="shared" si="328"/>
        <v>118.19094601120393</v>
      </c>
      <c r="P423">
        <f t="shared" si="329"/>
        <v>1.5623353408629848</v>
      </c>
      <c r="Q423">
        <f t="shared" si="330"/>
        <v>124.36008268945363</v>
      </c>
      <c r="R423">
        <f t="shared" si="331"/>
        <v>1.5627550746872216</v>
      </c>
      <c r="S423">
        <f t="shared" si="332"/>
        <v>0.96781996728854447</v>
      </c>
      <c r="T423">
        <f t="shared" si="333"/>
        <v>-0.2543781504007086</v>
      </c>
      <c r="U423">
        <f t="shared" si="334"/>
        <v>0.15872456606601559</v>
      </c>
      <c r="V423">
        <f t="shared" si="335"/>
        <v>-1.411397618709223</v>
      </c>
      <c r="X423">
        <f t="shared" si="352"/>
        <v>-48.023156334213091</v>
      </c>
      <c r="Y423">
        <f t="shared" si="336"/>
        <v>-152.72203532680979</v>
      </c>
      <c r="Z423">
        <f t="shared" si="353"/>
        <v>27.277964673190212</v>
      </c>
      <c r="AC423">
        <v>1</v>
      </c>
      <c r="AD423">
        <f t="shared" si="337"/>
        <v>118.18671549299999</v>
      </c>
      <c r="AE423">
        <f t="shared" si="338"/>
        <v>-0.77600553994574051</v>
      </c>
      <c r="AF423">
        <f t="shared" si="339"/>
        <v>0.12475264413149999</v>
      </c>
      <c r="AG423">
        <f t="shared" si="315"/>
        <v>22.611329836015944</v>
      </c>
      <c r="AH423">
        <f t="shared" si="316"/>
        <v>-148.66632565109535</v>
      </c>
      <c r="AJ423">
        <f t="shared" si="340"/>
        <v>10500</v>
      </c>
      <c r="AK423">
        <f t="shared" si="341"/>
        <v>2730.1131278883004</v>
      </c>
      <c r="AL423">
        <v>1</v>
      </c>
      <c r="AM423">
        <f t="shared" si="342"/>
        <v>124.35606204173462</v>
      </c>
      <c r="AN423">
        <f t="shared" si="317"/>
        <v>22.631515175708426</v>
      </c>
      <c r="AO423">
        <f t="shared" si="318"/>
        <v>-84.252977400555082</v>
      </c>
      <c r="AQ423">
        <f t="shared" si="343"/>
        <v>2.2893243539927307E-3</v>
      </c>
      <c r="AR423">
        <f t="shared" si="344"/>
        <v>-4.7846878998448066</v>
      </c>
      <c r="AT423">
        <f t="shared" si="365"/>
        <v>-711.27020478911379</v>
      </c>
      <c r="AU423">
        <f t="shared" si="366"/>
        <v>-108.52850170571701</v>
      </c>
      <c r="AV423">
        <f t="shared" si="354"/>
        <v>-2.9901764625730221</v>
      </c>
      <c r="AW423">
        <f t="shared" si="355"/>
        <v>-363.83647156423928</v>
      </c>
      <c r="AX423">
        <f t="shared" si="356"/>
        <v>-344.03173029445611</v>
      </c>
      <c r="AY423">
        <f t="shared" si="364"/>
        <v>-2.3841652001802438</v>
      </c>
      <c r="BA423">
        <f t="shared" si="345"/>
        <v>1.4368947121196385</v>
      </c>
      <c r="BB423">
        <f t="shared" si="357"/>
        <v>3.1484989309421825</v>
      </c>
      <c r="BC423">
        <f t="shared" si="358"/>
        <v>-0.60601126239277825</v>
      </c>
      <c r="BD423">
        <f t="shared" si="346"/>
        <v>-214.72188771217685</v>
      </c>
      <c r="BF423">
        <f t="shared" si="347"/>
        <v>-49.603954981811498</v>
      </c>
      <c r="BG423">
        <f t="shared" si="348"/>
        <v>-181.05649335718161</v>
      </c>
      <c r="BH423">
        <f t="shared" si="359"/>
        <v>-1.0564933571816084</v>
      </c>
      <c r="BI423">
        <f t="shared" si="360"/>
        <v>-1.0564933571816084</v>
      </c>
      <c r="BJ423">
        <f t="shared" si="349"/>
        <v>0</v>
      </c>
      <c r="BK423">
        <f t="shared" si="361"/>
        <v>0</v>
      </c>
      <c r="BM423">
        <f t="shared" si="362"/>
        <v>-52.75245391275368</v>
      </c>
      <c r="BN423">
        <f t="shared" si="350"/>
        <v>-146.33460564500479</v>
      </c>
      <c r="BQ423" s="56">
        <f t="shared" si="363"/>
        <v>20.050459731227317</v>
      </c>
    </row>
    <row r="424" spans="1:69" x14ac:dyDescent="0.2">
      <c r="A424">
        <f t="shared" si="319"/>
        <v>1050000</v>
      </c>
      <c r="B424">
        <f t="shared" si="351"/>
        <v>1050</v>
      </c>
      <c r="C424">
        <f t="shared" si="320"/>
        <v>1.1980190119916088</v>
      </c>
      <c r="D424">
        <f t="shared" si="321"/>
        <v>0.58318801401628462</v>
      </c>
      <c r="F424">
        <f t="shared" si="322"/>
        <v>1.2714592135361333E-4</v>
      </c>
      <c r="G424">
        <f t="shared" si="323"/>
        <v>6.5446837314983158E-3</v>
      </c>
      <c r="H424">
        <f t="shared" si="324"/>
        <v>-3.1350479662685018</v>
      </c>
      <c r="J424">
        <f t="shared" si="325"/>
        <v>15</v>
      </c>
      <c r="M424">
        <f t="shared" si="326"/>
        <v>7.5978013258745148E-4</v>
      </c>
      <c r="N424">
        <f t="shared" si="327"/>
        <v>-1.5707963250000001</v>
      </c>
      <c r="O424">
        <f t="shared" si="328"/>
        <v>118.7564125435951</v>
      </c>
      <c r="P424">
        <f t="shared" si="329"/>
        <v>1.5623756293630433</v>
      </c>
      <c r="Q424">
        <f t="shared" si="330"/>
        <v>124.9550686256661</v>
      </c>
      <c r="R424">
        <f t="shared" si="331"/>
        <v>1.5627933647250463</v>
      </c>
      <c r="S424">
        <f t="shared" si="332"/>
        <v>0.96752616168063521</v>
      </c>
      <c r="T424">
        <f t="shared" si="333"/>
        <v>-0.25554308743297821</v>
      </c>
      <c r="U424">
        <f t="shared" si="334"/>
        <v>0.1579876444211368</v>
      </c>
      <c r="V424">
        <f t="shared" si="335"/>
        <v>-1.4121439576278652</v>
      </c>
      <c r="X424">
        <f t="shared" si="352"/>
        <v>-48.09515752994799</v>
      </c>
      <c r="Y424">
        <f t="shared" si="336"/>
        <v>-152.7032408483941</v>
      </c>
      <c r="Z424">
        <f t="shared" si="353"/>
        <v>27.296759151605897</v>
      </c>
      <c r="AC424">
        <v>1</v>
      </c>
      <c r="AD424">
        <f t="shared" si="337"/>
        <v>118.75220217000002</v>
      </c>
      <c r="AE424">
        <f t="shared" si="338"/>
        <v>-0.78344919556803094</v>
      </c>
      <c r="AF424">
        <f t="shared" si="339"/>
        <v>0.12534954673500001</v>
      </c>
      <c r="AG424">
        <f t="shared" ref="AG424:AG487" si="367">AC424*AE424/(AE424^2+AF424^2)+AD424*AF424/(AE424^2+AF424^2)</f>
        <v>22.401858825140206</v>
      </c>
      <c r="AH424">
        <f t="shared" ref="AH424:AH487" si="368">AD424*AE424/(AE424^2+AF424^2)-AC424*AF424/(AE424^2+AF424^2)</f>
        <v>-147.99190550726556</v>
      </c>
      <c r="AJ424">
        <f t="shared" si="340"/>
        <v>10500</v>
      </c>
      <c r="AK424">
        <f t="shared" si="341"/>
        <v>2743.1758701270005</v>
      </c>
      <c r="AL424">
        <v>1</v>
      </c>
      <c r="AM424">
        <f t="shared" si="342"/>
        <v>124.95106712327402</v>
      </c>
      <c r="AN424">
        <f t="shared" ref="AN424:AN487" si="369">AJ424*AL424/(AL424^2+AM424^2)+AK424*AM424/(AL424^2+AM424^2)</f>
        <v>22.625078436491165</v>
      </c>
      <c r="AO424">
        <f t="shared" ref="AO424:AO487" si="370">AK424*AL424/(AL424^2+AM424^2)-AJ424*AM424/(AL424^2+AM424^2)</f>
        <v>-83.851824260346305</v>
      </c>
      <c r="AQ424">
        <f t="shared" si="343"/>
        <v>2.2675731819561946E-3</v>
      </c>
      <c r="AR424">
        <f t="shared" si="344"/>
        <v>-4.7619036821080085</v>
      </c>
      <c r="AT424">
        <f t="shared" si="365"/>
        <v>-704.67240190293046</v>
      </c>
      <c r="AU424">
        <f t="shared" si="366"/>
        <v>-107.01107650157381</v>
      </c>
      <c r="AV424">
        <f t="shared" si="354"/>
        <v>-2.9908847914144179</v>
      </c>
      <c r="AW424">
        <f t="shared" si="355"/>
        <v>-360.1673431338366</v>
      </c>
      <c r="AX424">
        <f t="shared" si="356"/>
        <v>-342.38569682996172</v>
      </c>
      <c r="AY424">
        <f t="shared" si="364"/>
        <v>-2.3814991288287426</v>
      </c>
      <c r="BA424">
        <f t="shared" si="345"/>
        <v>1.434283170803611</v>
      </c>
      <c r="BB424">
        <f t="shared" si="357"/>
        <v>3.1326980528101087</v>
      </c>
      <c r="BC424">
        <f t="shared" si="358"/>
        <v>-0.60938566258567528</v>
      </c>
      <c r="BD424">
        <f t="shared" si="346"/>
        <v>-214.9152266018389</v>
      </c>
      <c r="BF424">
        <f t="shared" si="347"/>
        <v>-49.690153898312055</v>
      </c>
      <c r="BG424">
        <f t="shared" si="348"/>
        <v>-181.1260319414169</v>
      </c>
      <c r="BH424">
        <f t="shared" si="359"/>
        <v>-1.1260319414168976</v>
      </c>
      <c r="BI424">
        <f t="shared" si="360"/>
        <v>-1.1260319414168976</v>
      </c>
      <c r="BJ424">
        <f t="shared" si="349"/>
        <v>0</v>
      </c>
      <c r="BK424">
        <f t="shared" si="361"/>
        <v>0</v>
      </c>
      <c r="BM424">
        <f t="shared" si="362"/>
        <v>-52.822851951122161</v>
      </c>
      <c r="BN424">
        <f t="shared" si="350"/>
        <v>-146.210805339578</v>
      </c>
      <c r="BQ424" s="56">
        <f t="shared" si="363"/>
        <v>20.034658853095245</v>
      </c>
    </row>
    <row r="425" spans="1:69" x14ac:dyDescent="0.2">
      <c r="A425">
        <f t="shared" si="319"/>
        <v>1055000</v>
      </c>
      <c r="B425">
        <f t="shared" si="351"/>
        <v>1055</v>
      </c>
      <c r="C425">
        <f t="shared" si="320"/>
        <v>1.1997519145793072</v>
      </c>
      <c r="D425">
        <f t="shared" si="321"/>
        <v>0.58537373668353188</v>
      </c>
      <c r="F425">
        <f t="shared" si="322"/>
        <v>1.2594347366367482E-4</v>
      </c>
      <c r="G425">
        <f t="shared" si="323"/>
        <v>6.5136591644001131E-3</v>
      </c>
      <c r="H425">
        <f t="shared" si="324"/>
        <v>-3.1350789908356003</v>
      </c>
      <c r="J425">
        <f t="shared" si="325"/>
        <v>15</v>
      </c>
      <c r="M425">
        <f t="shared" si="326"/>
        <v>7.5617927887850617E-4</v>
      </c>
      <c r="N425">
        <f t="shared" si="327"/>
        <v>-1.5707963250000001</v>
      </c>
      <c r="O425">
        <f t="shared" si="328"/>
        <v>119.32187926692031</v>
      </c>
      <c r="P425">
        <f t="shared" si="329"/>
        <v>1.5624155360085343</v>
      </c>
      <c r="Q425">
        <f t="shared" si="330"/>
        <v>125.55005474334219</v>
      </c>
      <c r="R425">
        <f t="shared" si="331"/>
        <v>1.5628312918472589</v>
      </c>
      <c r="S425">
        <f t="shared" si="332"/>
        <v>0.96723122298982234</v>
      </c>
      <c r="T425">
        <f t="shared" si="333"/>
        <v>-0.25670731581036443</v>
      </c>
      <c r="U425">
        <f t="shared" si="334"/>
        <v>0.15725744748413584</v>
      </c>
      <c r="V425">
        <f t="shared" si="335"/>
        <v>-1.4128833980056985</v>
      </c>
      <c r="X425">
        <f t="shared" si="352"/>
        <v>-48.166766572552994</v>
      </c>
      <c r="Y425">
        <f t="shared" si="336"/>
        <v>-152.68439837998122</v>
      </c>
      <c r="Z425">
        <f t="shared" si="353"/>
        <v>27.315601620018782</v>
      </c>
      <c r="AC425">
        <v>1</v>
      </c>
      <c r="AD425">
        <f t="shared" si="337"/>
        <v>119.31768884700001</v>
      </c>
      <c r="AE425">
        <f t="shared" si="338"/>
        <v>-0.79092838176608404</v>
      </c>
      <c r="AF425">
        <f t="shared" si="339"/>
        <v>0.12594644933849999</v>
      </c>
      <c r="AG425">
        <f t="shared" si="367"/>
        <v>22.195260808058546</v>
      </c>
      <c r="AH425">
        <f t="shared" si="368"/>
        <v>-147.32342047948455</v>
      </c>
      <c r="AJ425">
        <f t="shared" si="340"/>
        <v>10500</v>
      </c>
      <c r="AK425">
        <f t="shared" si="341"/>
        <v>2756.2386123657006</v>
      </c>
      <c r="AL425">
        <v>1</v>
      </c>
      <c r="AM425">
        <f t="shared" si="342"/>
        <v>125.54607220481341</v>
      </c>
      <c r="AN425">
        <f t="shared" si="369"/>
        <v>22.618732990112868</v>
      </c>
      <c r="AO425">
        <f t="shared" si="370"/>
        <v>-83.454472792404772</v>
      </c>
      <c r="AQ425">
        <f t="shared" si="343"/>
        <v>2.2461305347744806E-3</v>
      </c>
      <c r="AR425">
        <f t="shared" si="344"/>
        <v>-4.7393354283741544</v>
      </c>
      <c r="AT425">
        <f t="shared" si="365"/>
        <v>-698.16525265465532</v>
      </c>
      <c r="AU425">
        <f t="shared" si="366"/>
        <v>-105.52169352286262</v>
      </c>
      <c r="AV425">
        <f t="shared" si="354"/>
        <v>-2.9915865819731522</v>
      </c>
      <c r="AW425">
        <f t="shared" si="355"/>
        <v>-356.55032599044534</v>
      </c>
      <c r="AX425">
        <f t="shared" si="356"/>
        <v>-340.75538696659009</v>
      </c>
      <c r="AY425">
        <f t="shared" si="364"/>
        <v>-2.3788420007157036</v>
      </c>
      <c r="BA425">
        <f t="shared" si="345"/>
        <v>1.431671113391997</v>
      </c>
      <c r="BB425">
        <f t="shared" si="357"/>
        <v>3.1168652470931759</v>
      </c>
      <c r="BC425">
        <f t="shared" si="358"/>
        <v>-0.61274458125744857</v>
      </c>
      <c r="BD425">
        <f t="shared" si="346"/>
        <v>-215.1076784656791</v>
      </c>
      <c r="BF425">
        <f t="shared" si="347"/>
        <v>-49.775967189339752</v>
      </c>
      <c r="BG425">
        <f t="shared" si="348"/>
        <v>-181.19502869785268</v>
      </c>
      <c r="BH425">
        <f t="shared" si="359"/>
        <v>-1.1950286978526776</v>
      </c>
      <c r="BI425">
        <f t="shared" si="360"/>
        <v>-1.1950286978526776</v>
      </c>
      <c r="BJ425">
        <f t="shared" si="349"/>
        <v>0</v>
      </c>
      <c r="BK425">
        <f t="shared" si="361"/>
        <v>0</v>
      </c>
      <c r="BM425">
        <f t="shared" si="362"/>
        <v>-52.892832436432933</v>
      </c>
      <c r="BN425">
        <f t="shared" si="350"/>
        <v>-146.08735023217358</v>
      </c>
      <c r="BQ425" s="56">
        <f t="shared" si="363"/>
        <v>20.018826047378312</v>
      </c>
    </row>
    <row r="426" spans="1:69" x14ac:dyDescent="0.2">
      <c r="A426">
        <f t="shared" si="319"/>
        <v>1060000</v>
      </c>
      <c r="B426">
        <f t="shared" si="351"/>
        <v>1060</v>
      </c>
      <c r="C426">
        <f t="shared" si="320"/>
        <v>1.2014905322926324</v>
      </c>
      <c r="D426">
        <f t="shared" si="321"/>
        <v>0.58755314403456238</v>
      </c>
      <c r="F426">
        <f t="shared" si="322"/>
        <v>1.2475800398986211E-4</v>
      </c>
      <c r="G426">
        <f t="shared" si="323"/>
        <v>6.4829273817937341E-3</v>
      </c>
      <c r="H426">
        <f t="shared" si="324"/>
        <v>-3.1351097226182065</v>
      </c>
      <c r="J426">
        <f t="shared" si="325"/>
        <v>15</v>
      </c>
      <c r="M426">
        <f t="shared" si="326"/>
        <v>7.5261239548756983E-4</v>
      </c>
      <c r="N426">
        <f t="shared" si="327"/>
        <v>-1.5707963250000001</v>
      </c>
      <c r="O426">
        <f t="shared" si="328"/>
        <v>119.88734617847787</v>
      </c>
      <c r="P426">
        <f t="shared" si="329"/>
        <v>1.562455066202556</v>
      </c>
      <c r="Q426">
        <f t="shared" si="330"/>
        <v>126.14504103991416</v>
      </c>
      <c r="R426">
        <f t="shared" si="331"/>
        <v>1.5628688611890242</v>
      </c>
      <c r="S426">
        <f t="shared" si="332"/>
        <v>0.96693515464951274</v>
      </c>
      <c r="T426">
        <f t="shared" si="333"/>
        <v>-0.25787083302613589</v>
      </c>
      <c r="U426">
        <f t="shared" si="334"/>
        <v>0.15653388482116259</v>
      </c>
      <c r="V426">
        <f t="shared" si="335"/>
        <v>-1.4136160342518223</v>
      </c>
      <c r="X426">
        <f t="shared" si="352"/>
        <v>-48.237987209940442</v>
      </c>
      <c r="Y426">
        <f t="shared" si="336"/>
        <v>-152.66551245101869</v>
      </c>
      <c r="Z426">
        <f t="shared" si="353"/>
        <v>27.334487548981315</v>
      </c>
      <c r="AC426">
        <v>1</v>
      </c>
      <c r="AD426">
        <f t="shared" si="337"/>
        <v>119.88317552400002</v>
      </c>
      <c r="AE426">
        <f t="shared" si="338"/>
        <v>-0.79844309853989981</v>
      </c>
      <c r="AF426">
        <f t="shared" si="339"/>
        <v>0.126543351942</v>
      </c>
      <c r="AG426">
        <f t="shared" si="367"/>
        <v>21.99148393211749</v>
      </c>
      <c r="AH426">
        <f t="shared" si="368"/>
        <v>-146.66079479826513</v>
      </c>
      <c r="AJ426">
        <f t="shared" si="340"/>
        <v>10500</v>
      </c>
      <c r="AK426">
        <f t="shared" si="341"/>
        <v>2769.3013546044003</v>
      </c>
      <c r="AL426">
        <v>1</v>
      </c>
      <c r="AM426">
        <f t="shared" si="342"/>
        <v>126.14107728635281</v>
      </c>
      <c r="AN426">
        <f t="shared" si="369"/>
        <v>22.612477118316956</v>
      </c>
      <c r="AO426">
        <f t="shared" si="370"/>
        <v>-83.060869213103118</v>
      </c>
      <c r="AQ426">
        <f t="shared" si="343"/>
        <v>2.2249906049771704E-3</v>
      </c>
      <c r="AR426">
        <f t="shared" si="344"/>
        <v>-4.7169800825516015</v>
      </c>
      <c r="AT426">
        <f t="shared" si="365"/>
        <v>-691.74711710946565</v>
      </c>
      <c r="AU426">
        <f t="shared" si="366"/>
        <v>-104.05971058409641</v>
      </c>
      <c r="AV426">
        <f t="shared" si="354"/>
        <v>-2.992281923560836</v>
      </c>
      <c r="AW426">
        <f t="shared" si="355"/>
        <v>-352.98443770216073</v>
      </c>
      <c r="AX426">
        <f t="shared" si="356"/>
        <v>-339.14057566787238</v>
      </c>
      <c r="AY426">
        <f t="shared" si="364"/>
        <v>-2.3761937908945097</v>
      </c>
      <c r="BA426">
        <f t="shared" si="345"/>
        <v>1.4290586773815055</v>
      </c>
      <c r="BB426">
        <f t="shared" si="357"/>
        <v>3.1010012271814724</v>
      </c>
      <c r="BC426">
        <f t="shared" si="358"/>
        <v>-0.61608813266632634</v>
      </c>
      <c r="BD426">
        <f t="shared" si="346"/>
        <v>-215.29924985021171</v>
      </c>
      <c r="BF426">
        <f t="shared" si="347"/>
        <v>-49.861398176382501</v>
      </c>
      <c r="BG426">
        <f t="shared" si="348"/>
        <v>-181.26349004063104</v>
      </c>
      <c r="BH426">
        <f t="shared" si="359"/>
        <v>-1.2634900406310408</v>
      </c>
      <c r="BI426">
        <f t="shared" si="360"/>
        <v>-1.2634900406310408</v>
      </c>
      <c r="BJ426">
        <f t="shared" si="349"/>
        <v>0</v>
      </c>
      <c r="BK426">
        <f t="shared" si="361"/>
        <v>0</v>
      </c>
      <c r="BM426">
        <f t="shared" si="362"/>
        <v>-52.962399403563978</v>
      </c>
      <c r="BN426">
        <f t="shared" si="350"/>
        <v>-145.96424019041933</v>
      </c>
      <c r="BQ426" s="56">
        <f t="shared" si="363"/>
        <v>20.002962027466609</v>
      </c>
    </row>
    <row r="427" spans="1:69" x14ac:dyDescent="0.2">
      <c r="A427">
        <f t="shared" si="319"/>
        <v>1065000</v>
      </c>
      <c r="B427">
        <f t="shared" si="351"/>
        <v>1065</v>
      </c>
      <c r="C427">
        <f t="shared" si="320"/>
        <v>1.2032348403573221</v>
      </c>
      <c r="D427">
        <f t="shared" si="321"/>
        <v>0.58972624278667685</v>
      </c>
      <c r="F427">
        <f t="shared" si="322"/>
        <v>1.2358919418976096E-4</v>
      </c>
      <c r="G427">
        <f t="shared" si="323"/>
        <v>6.4524842580908418E-3</v>
      </c>
      <c r="H427">
        <f t="shared" si="324"/>
        <v>-3.1351401657419093</v>
      </c>
      <c r="J427">
        <f t="shared" si="325"/>
        <v>15</v>
      </c>
      <c r="M427">
        <f t="shared" si="326"/>
        <v>7.4907900395945911E-4</v>
      </c>
      <c r="N427">
        <f t="shared" si="327"/>
        <v>-1.5707963250000001</v>
      </c>
      <c r="O427">
        <f t="shared" si="328"/>
        <v>120.45281327561679</v>
      </c>
      <c r="P427">
        <f t="shared" si="329"/>
        <v>1.5624942252467504</v>
      </c>
      <c r="Q427">
        <f t="shared" si="330"/>
        <v>126.74002751286254</v>
      </c>
      <c r="R427">
        <f t="shared" si="331"/>
        <v>1.5629060777890822</v>
      </c>
      <c r="S427">
        <f t="shared" si="332"/>
        <v>0.96663796010048431</v>
      </c>
      <c r="T427">
        <f t="shared" si="333"/>
        <v>-0.25903363658432477</v>
      </c>
      <c r="U427">
        <f t="shared" si="334"/>
        <v>0.15581686759052088</v>
      </c>
      <c r="V427">
        <f t="shared" si="335"/>
        <v>-1.4143419590750619</v>
      </c>
      <c r="X427">
        <f t="shared" si="352"/>
        <v>-48.308823141688848</v>
      </c>
      <c r="Y427">
        <f t="shared" si="336"/>
        <v>-152.64658748936839</v>
      </c>
      <c r="Z427">
        <f t="shared" si="353"/>
        <v>27.353412510631614</v>
      </c>
      <c r="AC427">
        <v>1</v>
      </c>
      <c r="AD427">
        <f t="shared" si="337"/>
        <v>120.44866220100002</v>
      </c>
      <c r="AE427">
        <f t="shared" si="338"/>
        <v>-0.80599334588947835</v>
      </c>
      <c r="AF427">
        <f t="shared" si="339"/>
        <v>0.12714025454550001</v>
      </c>
      <c r="AG427">
        <f t="shared" si="367"/>
        <v>21.790477498985862</v>
      </c>
      <c r="AH427">
        <f t="shared" si="368"/>
        <v>-146.00395393493432</v>
      </c>
      <c r="AJ427">
        <f t="shared" si="340"/>
        <v>10500</v>
      </c>
      <c r="AK427">
        <f t="shared" si="341"/>
        <v>2782.3640968431</v>
      </c>
      <c r="AL427">
        <v>1</v>
      </c>
      <c r="AM427">
        <f t="shared" si="342"/>
        <v>126.73608236789222</v>
      </c>
      <c r="AN427">
        <f t="shared" si="369"/>
        <v>22.606309143081546</v>
      </c>
      <c r="AO427">
        <f t="shared" si="370"/>
        <v>-82.670960748517658</v>
      </c>
      <c r="AQ427">
        <f t="shared" si="343"/>
        <v>2.2041477210986088E-3</v>
      </c>
      <c r="AR427">
        <f t="shared" si="344"/>
        <v>-4.6948346459400367</v>
      </c>
      <c r="AT427">
        <f t="shared" si="365"/>
        <v>-685.41639194664174</v>
      </c>
      <c r="AU427">
        <f t="shared" si="366"/>
        <v>-102.6245029961527</v>
      </c>
      <c r="AV427">
        <f t="shared" si="354"/>
        <v>-2.9929709038845234</v>
      </c>
      <c r="AW427">
        <f t="shared" si="355"/>
        <v>-349.46871888552494</v>
      </c>
      <c r="AX427">
        <f t="shared" si="356"/>
        <v>-337.54104218934486</v>
      </c>
      <c r="AY427">
        <f t="shared" si="364"/>
        <v>-2.373554474194032</v>
      </c>
      <c r="BA427">
        <f t="shared" si="345"/>
        <v>1.4264459976244241</v>
      </c>
      <c r="BB427">
        <f t="shared" si="357"/>
        <v>3.085106695779785</v>
      </c>
      <c r="BC427">
        <f t="shared" si="358"/>
        <v>-0.61941642969049138</v>
      </c>
      <c r="BD427">
        <f t="shared" si="346"/>
        <v>-215.48994722288023</v>
      </c>
      <c r="BF427">
        <f t="shared" si="347"/>
        <v>-49.946450137260847</v>
      </c>
      <c r="BG427">
        <f t="shared" si="348"/>
        <v>-181.33142228870133</v>
      </c>
      <c r="BH427">
        <f t="shared" si="359"/>
        <v>-1.3314222887013329</v>
      </c>
      <c r="BI427">
        <f t="shared" si="360"/>
        <v>-1.3314222887013329</v>
      </c>
      <c r="BJ427">
        <f t="shared" si="349"/>
        <v>0</v>
      </c>
      <c r="BK427">
        <f t="shared" si="361"/>
        <v>0</v>
      </c>
      <c r="BM427">
        <f t="shared" si="362"/>
        <v>-53.031556833040632</v>
      </c>
      <c r="BN427">
        <f t="shared" si="350"/>
        <v>-145.8414750658211</v>
      </c>
      <c r="BQ427" s="56">
        <f t="shared" si="363"/>
        <v>19.987067496064924</v>
      </c>
    </row>
    <row r="428" spans="1:69" x14ac:dyDescent="0.2">
      <c r="A428">
        <f t="shared" ref="A428:A433" si="371">A427+5000</f>
        <v>1070000</v>
      </c>
      <c r="B428">
        <f t="shared" si="351"/>
        <v>1070</v>
      </c>
      <c r="C428">
        <f t="shared" si="320"/>
        <v>1.2049848140617143</v>
      </c>
      <c r="D428">
        <f t="shared" si="321"/>
        <v>0.59189303985667518</v>
      </c>
      <c r="F428">
        <f t="shared" si="322"/>
        <v>1.2243673353833998E-4</v>
      </c>
      <c r="G428">
        <f t="shared" si="323"/>
        <v>6.4223257448601332E-3</v>
      </c>
      <c r="H428">
        <f t="shared" si="324"/>
        <v>-3.1351703242551401</v>
      </c>
      <c r="J428">
        <f t="shared" si="325"/>
        <v>15</v>
      </c>
      <c r="M428">
        <f t="shared" si="326"/>
        <v>7.4557863478207857E-4</v>
      </c>
      <c r="N428">
        <f t="shared" si="327"/>
        <v>-1.5707963250000001</v>
      </c>
      <c r="O428">
        <f t="shared" si="328"/>
        <v>121.01828055573564</v>
      </c>
      <c r="P428">
        <f t="shared" si="329"/>
        <v>1.5625330183436759</v>
      </c>
      <c r="Q428">
        <f t="shared" si="330"/>
        <v>127.3350141597149</v>
      </c>
      <c r="R428">
        <f t="shared" si="331"/>
        <v>1.5629429465920006</v>
      </c>
      <c r="S428">
        <f t="shared" si="332"/>
        <v>0.96633964279078433</v>
      </c>
      <c r="T428">
        <f t="shared" si="333"/>
        <v>-0.26019572399974361</v>
      </c>
      <c r="U428">
        <f t="shared" si="334"/>
        <v>0.15510630850829707</v>
      </c>
      <c r="V428">
        <f t="shared" si="335"/>
        <v>-1.4150612635217401</v>
      </c>
      <c r="X428">
        <f t="shared" si="352"/>
        <v>-48.379278019859882</v>
      </c>
      <c r="Y428">
        <f t="shared" si="336"/>
        <v>-152.62762782347642</v>
      </c>
      <c r="Z428">
        <f t="shared" si="353"/>
        <v>27.372372176523584</v>
      </c>
      <c r="AC428">
        <v>1</v>
      </c>
      <c r="AD428">
        <f t="shared" si="337"/>
        <v>121.01414887800001</v>
      </c>
      <c r="AE428">
        <f t="shared" si="338"/>
        <v>-0.81357912381481967</v>
      </c>
      <c r="AF428">
        <f t="shared" si="339"/>
        <v>0.127737157149</v>
      </c>
      <c r="AG428">
        <f t="shared" si="367"/>
        <v>21.59219193423548</v>
      </c>
      <c r="AH428">
        <f t="shared" si="368"/>
        <v>-145.35282457741835</v>
      </c>
      <c r="AJ428">
        <f t="shared" si="340"/>
        <v>10500</v>
      </c>
      <c r="AK428">
        <f t="shared" si="341"/>
        <v>2795.4268390818002</v>
      </c>
      <c r="AL428">
        <v>1</v>
      </c>
      <c r="AM428">
        <f t="shared" si="342"/>
        <v>127.33108744943161</v>
      </c>
      <c r="AN428">
        <f t="shared" si="369"/>
        <v>22.600227425494211</v>
      </c>
      <c r="AO428">
        <f t="shared" si="370"/>
        <v>-82.284695610846086</v>
      </c>
      <c r="AQ428">
        <f t="shared" si="343"/>
        <v>2.1835963438736256E-3</v>
      </c>
      <c r="AR428">
        <f t="shared" si="344"/>
        <v>-4.6728961758895586</v>
      </c>
      <c r="AT428">
        <f t="shared" si="365"/>
        <v>-679.17150949120025</v>
      </c>
      <c r="AU428">
        <f t="shared" si="366"/>
        <v>-101.21546301488129</v>
      </c>
      <c r="AV428">
        <f t="shared" si="354"/>
        <v>-2.9936536090822439</v>
      </c>
      <c r="AW428">
        <f t="shared" si="355"/>
        <v>-346.00223255955274</v>
      </c>
      <c r="AX428">
        <f t="shared" si="356"/>
        <v>-335.95656997621683</v>
      </c>
      <c r="AY428">
        <f t="shared" si="364"/>
        <v>-2.3709240252255901</v>
      </c>
      <c r="BA428">
        <f t="shared" si="345"/>
        <v>1.4238332063764114</v>
      </c>
      <c r="BB428">
        <f t="shared" si="357"/>
        <v>3.0691823451039646</v>
      </c>
      <c r="BC428">
        <f t="shared" si="358"/>
        <v>-0.62272958385665378</v>
      </c>
      <c r="BD428">
        <f t="shared" si="346"/>
        <v>-215.67977697369443</v>
      </c>
      <c r="BF428">
        <f t="shared" si="347"/>
        <v>-50.03112630691318</v>
      </c>
      <c r="BG428">
        <f t="shared" si="348"/>
        <v>-181.39883166772793</v>
      </c>
      <c r="BH428">
        <f t="shared" si="359"/>
        <v>-1.3988316677279329</v>
      </c>
      <c r="BI428">
        <f t="shared" si="360"/>
        <v>-1.3988316677279329</v>
      </c>
      <c r="BJ428">
        <f t="shared" si="349"/>
        <v>0</v>
      </c>
      <c r="BK428">
        <f t="shared" si="361"/>
        <v>0</v>
      </c>
      <c r="BM428">
        <f t="shared" si="362"/>
        <v>-53.100308652017134</v>
      </c>
      <c r="BN428">
        <f t="shared" si="350"/>
        <v>-145.7190546940335</v>
      </c>
      <c r="BQ428" s="56">
        <f t="shared" si="363"/>
        <v>19.9711431453891</v>
      </c>
    </row>
    <row r="429" spans="1:69" x14ac:dyDescent="0.2">
      <c r="A429">
        <f t="shared" si="371"/>
        <v>1075000</v>
      </c>
      <c r="B429">
        <f t="shared" si="351"/>
        <v>1075</v>
      </c>
      <c r="C429">
        <f t="shared" si="320"/>
        <v>1.2067404287574588</v>
      </c>
      <c r="D429">
        <f t="shared" si="321"/>
        <v>0.59405354235799179</v>
      </c>
      <c r="F429">
        <f t="shared" si="322"/>
        <v>1.2130031852138629E-4</v>
      </c>
      <c r="G429">
        <f t="shared" si="323"/>
        <v>6.3924478690317935E-3</v>
      </c>
      <c r="H429">
        <f t="shared" si="324"/>
        <v>-3.1352002021309686</v>
      </c>
      <c r="J429">
        <f t="shared" si="325"/>
        <v>15</v>
      </c>
      <c r="M429">
        <f t="shared" si="326"/>
        <v>7.4211082717844101E-4</v>
      </c>
      <c r="N429">
        <f t="shared" si="327"/>
        <v>-1.5707963250000001</v>
      </c>
      <c r="O429">
        <f t="shared" si="328"/>
        <v>121.58374801628143</v>
      </c>
      <c r="P429">
        <f t="shared" si="329"/>
        <v>1.5625714505991093</v>
      </c>
      <c r="Q429">
        <f t="shared" si="330"/>
        <v>127.93000097804484</v>
      </c>
      <c r="R429">
        <f t="shared" si="331"/>
        <v>1.5629794724503645</v>
      </c>
      <c r="S429">
        <f t="shared" si="332"/>
        <v>0.9660402061756318</v>
      </c>
      <c r="T429">
        <f t="shared" si="333"/>
        <v>-0.26135709279800207</v>
      </c>
      <c r="U429">
        <f t="shared" si="334"/>
        <v>0.15440212181486104</v>
      </c>
      <c r="V429">
        <f t="shared" si="335"/>
        <v>-1.4157740370124556</v>
      </c>
      <c r="X429">
        <f t="shared" si="352"/>
        <v>-48.4493554497977</v>
      </c>
      <c r="Y429">
        <f t="shared" si="336"/>
        <v>-152.60863768449192</v>
      </c>
      <c r="Z429">
        <f t="shared" si="353"/>
        <v>27.391362315508076</v>
      </c>
      <c r="AC429">
        <v>1</v>
      </c>
      <c r="AD429">
        <f t="shared" si="337"/>
        <v>121.57963555500001</v>
      </c>
      <c r="AE429">
        <f t="shared" si="338"/>
        <v>-0.82120043231592366</v>
      </c>
      <c r="AF429">
        <f t="shared" si="339"/>
        <v>0.12833405975250001</v>
      </c>
      <c r="AG429">
        <f t="shared" si="367"/>
        <v>21.396578757844036</v>
      </c>
      <c r="AH429">
        <f t="shared" si="368"/>
        <v>-144.70733460655961</v>
      </c>
      <c r="AJ429">
        <f t="shared" si="340"/>
        <v>10500</v>
      </c>
      <c r="AK429">
        <f t="shared" si="341"/>
        <v>2808.4895813205003</v>
      </c>
      <c r="AL429">
        <v>1</v>
      </c>
      <c r="AM429">
        <f t="shared" si="342"/>
        <v>127.926092530971</v>
      </c>
      <c r="AN429">
        <f t="shared" si="369"/>
        <v>22.594230364663229</v>
      </c>
      <c r="AO429">
        <f t="shared" si="370"/>
        <v>-81.902022975482879</v>
      </c>
      <c r="AQ429">
        <f t="shared" si="343"/>
        <v>2.1633310625568279E-3</v>
      </c>
      <c r="AR429">
        <f t="shared" si="344"/>
        <v>-4.6511617844971802</v>
      </c>
      <c r="AT429">
        <f t="shared" si="365"/>
        <v>-673.01093677501706</v>
      </c>
      <c r="AU429">
        <f t="shared" si="366"/>
        <v>-99.831999309402491</v>
      </c>
      <c r="AV429">
        <f t="shared" si="354"/>
        <v>-2.9943301237576101</v>
      </c>
      <c r="AW429">
        <f t="shared" si="355"/>
        <v>-342.58406352078475</v>
      </c>
      <c r="AX429">
        <f t="shared" si="356"/>
        <v>-334.38694656396831</v>
      </c>
      <c r="AY429">
        <f t="shared" si="364"/>
        <v>-2.3683024183897912</v>
      </c>
      <c r="BA429">
        <f t="shared" si="345"/>
        <v>1.4212204333432097</v>
      </c>
      <c r="BB429">
        <f t="shared" si="357"/>
        <v>3.0532288570720896</v>
      </c>
      <c r="BC429">
        <f t="shared" si="358"/>
        <v>-0.62602770536781893</v>
      </c>
      <c r="BD429">
        <f t="shared" si="346"/>
        <v>-215.86874541682144</v>
      </c>
      <c r="BF429">
        <f t="shared" si="347"/>
        <v>-50.115429878163376</v>
      </c>
      <c r="BG429">
        <f t="shared" si="348"/>
        <v>-181.46572431194835</v>
      </c>
      <c r="BH429">
        <f t="shared" si="359"/>
        <v>-1.4657243119483496</v>
      </c>
      <c r="BI429">
        <f t="shared" si="360"/>
        <v>-1.4657243119483496</v>
      </c>
      <c r="BJ429">
        <f t="shared" si="349"/>
        <v>0</v>
      </c>
      <c r="BK429">
        <f t="shared" si="361"/>
        <v>0</v>
      </c>
      <c r="BM429">
        <f t="shared" si="362"/>
        <v>-53.168658735235468</v>
      </c>
      <c r="BN429">
        <f t="shared" si="350"/>
        <v>-145.59697889512691</v>
      </c>
      <c r="BQ429" s="56">
        <f t="shared" si="363"/>
        <v>19.955189657357227</v>
      </c>
    </row>
    <row r="430" spans="1:69" x14ac:dyDescent="0.2">
      <c r="A430">
        <f t="shared" si="371"/>
        <v>1080000</v>
      </c>
      <c r="B430">
        <f t="shared" si="351"/>
        <v>1080</v>
      </c>
      <c r="C430">
        <f t="shared" si="320"/>
        <v>1.2085016598602103</v>
      </c>
      <c r="D430">
        <f t="shared" si="321"/>
        <v>0.5962077575978445</v>
      </c>
      <c r="F430">
        <f t="shared" si="322"/>
        <v>1.2017965263562214E-4</v>
      </c>
      <c r="G430">
        <f t="shared" si="323"/>
        <v>6.3628467311518605E-3</v>
      </c>
      <c r="H430">
        <f t="shared" si="324"/>
        <v>-3.1352298032688481</v>
      </c>
      <c r="J430">
        <f t="shared" si="325"/>
        <v>15</v>
      </c>
      <c r="M430">
        <f t="shared" si="326"/>
        <v>7.3867512890446669E-4</v>
      </c>
      <c r="N430">
        <f t="shared" si="327"/>
        <v>-1.5707963250000001</v>
      </c>
      <c r="O430">
        <f t="shared" si="328"/>
        <v>122.14921565474835</v>
      </c>
      <c r="P430">
        <f t="shared" si="329"/>
        <v>1.562609527024287</v>
      </c>
      <c r="Q430">
        <f t="shared" si="330"/>
        <v>128.52498796547084</v>
      </c>
      <c r="R430">
        <f t="shared" si="331"/>
        <v>1.5630156601269056</v>
      </c>
      <c r="S430">
        <f t="shared" si="332"/>
        <v>0.96573965371731674</v>
      </c>
      <c r="T430">
        <f t="shared" si="333"/>
        <v>-0.26251774051552312</v>
      </c>
      <c r="U430">
        <f t="shared" si="334"/>
        <v>0.15370422324221381</v>
      </c>
      <c r="V430">
        <f t="shared" si="335"/>
        <v>-1.4164803673778983</v>
      </c>
      <c r="X430">
        <f t="shared" si="352"/>
        <v>-48.519058990911368</v>
      </c>
      <c r="Y430">
        <f t="shared" si="336"/>
        <v>-152.5896212083326</v>
      </c>
      <c r="Z430">
        <f t="shared" si="353"/>
        <v>27.410378791667398</v>
      </c>
      <c r="AC430">
        <v>1</v>
      </c>
      <c r="AD430">
        <f t="shared" si="337"/>
        <v>122.14512223200002</v>
      </c>
      <c r="AE430">
        <f t="shared" si="338"/>
        <v>-0.82885727139279031</v>
      </c>
      <c r="AF430">
        <f t="shared" si="339"/>
        <v>0.12893096235599999</v>
      </c>
      <c r="AG430">
        <f t="shared" si="367"/>
        <v>21.203590555588637</v>
      </c>
      <c r="AH430">
        <f t="shared" si="368"/>
        <v>-144.06741307295246</v>
      </c>
      <c r="AJ430">
        <f t="shared" si="340"/>
        <v>10500</v>
      </c>
      <c r="AK430">
        <f t="shared" si="341"/>
        <v>2821.5523235592004</v>
      </c>
      <c r="AL430">
        <v>1</v>
      </c>
      <c r="AM430">
        <f t="shared" si="342"/>
        <v>128.52109761251043</v>
      </c>
      <c r="AN430">
        <f t="shared" si="369"/>
        <v>22.588316396664062</v>
      </c>
      <c r="AO430">
        <f t="shared" si="370"/>
        <v>-81.522892958731248</v>
      </c>
      <c r="AQ430">
        <f t="shared" si="343"/>
        <v>2.1433465913608986E-3</v>
      </c>
      <c r="AR430">
        <f t="shared" si="344"/>
        <v>-4.6296286373395414</v>
      </c>
      <c r="AT430">
        <f t="shared" si="365"/>
        <v>-666.93317462642381</v>
      </c>
      <c r="AU430">
        <f t="shared" si="366"/>
        <v>-98.473536449311482</v>
      </c>
      <c r="AV430">
        <f t="shared" si="354"/>
        <v>-2.9950005310135177</v>
      </c>
      <c r="AW430">
        <f t="shared" si="355"/>
        <v>-339.2133177385885</v>
      </c>
      <c r="AX430">
        <f t="shared" si="356"/>
        <v>-332.83196348177933</v>
      </c>
      <c r="AY430">
        <f t="shared" si="364"/>
        <v>-2.36568962788325</v>
      </c>
      <c r="BA430">
        <f t="shared" si="345"/>
        <v>1.418607805726311</v>
      </c>
      <c r="BB430">
        <f t="shared" si="357"/>
        <v>3.037246903490586</v>
      </c>
      <c r="BC430">
        <f t="shared" si="358"/>
        <v>-0.62931090313026772</v>
      </c>
      <c r="BD430">
        <f t="shared" si="346"/>
        <v>-216.05685879213149</v>
      </c>
      <c r="BF430">
        <f t="shared" si="347"/>
        <v>-50.199364002471533</v>
      </c>
      <c r="BG430">
        <f t="shared" si="348"/>
        <v>-181.53210626598224</v>
      </c>
      <c r="BH430">
        <f t="shared" si="359"/>
        <v>-1.532106265982236</v>
      </c>
      <c r="BI430">
        <f t="shared" si="360"/>
        <v>-1.532106265982236</v>
      </c>
      <c r="BJ430">
        <f t="shared" si="349"/>
        <v>0</v>
      </c>
      <c r="BK430">
        <f t="shared" si="361"/>
        <v>0</v>
      </c>
      <c r="BM430">
        <f t="shared" si="362"/>
        <v>-53.236610905962117</v>
      </c>
      <c r="BN430">
        <f t="shared" si="350"/>
        <v>-145.47524747385077</v>
      </c>
      <c r="BQ430" s="56">
        <f t="shared" si="363"/>
        <v>19.939207703775722</v>
      </c>
    </row>
    <row r="431" spans="1:69" x14ac:dyDescent="0.2">
      <c r="A431">
        <f t="shared" si="371"/>
        <v>1085000</v>
      </c>
      <c r="B431">
        <f t="shared" si="351"/>
        <v>1085</v>
      </c>
      <c r="C431">
        <f t="shared" si="320"/>
        <v>1.210268482850309</v>
      </c>
      <c r="D431">
        <f t="shared" si="321"/>
        <v>0.59835569307439929</v>
      </c>
      <c r="F431">
        <f t="shared" si="322"/>
        <v>1.1907444619525596E-4</v>
      </c>
      <c r="G431">
        <f t="shared" si="323"/>
        <v>6.3335185036848974E-3</v>
      </c>
      <c r="H431">
        <f t="shared" si="324"/>
        <v>-3.1352591314963152</v>
      </c>
      <c r="J431">
        <f t="shared" si="325"/>
        <v>15</v>
      </c>
      <c r="M431">
        <f t="shared" si="326"/>
        <v>7.3527109605237245E-4</v>
      </c>
      <c r="N431">
        <f t="shared" si="327"/>
        <v>-1.5707963250000001</v>
      </c>
      <c r="O431">
        <f t="shared" si="328"/>
        <v>122.71468346867684</v>
      </c>
      <c r="P431">
        <f t="shared" si="329"/>
        <v>1.562647252538083</v>
      </c>
      <c r="Q431">
        <f t="shared" si="330"/>
        <v>129.11997511965535</v>
      </c>
      <c r="R431">
        <f t="shared" si="331"/>
        <v>1.563051514296572</v>
      </c>
      <c r="S431">
        <f t="shared" si="332"/>
        <v>0.96543798888509991</v>
      </c>
      <c r="T431">
        <f t="shared" si="333"/>
        <v>-0.26367766469955894</v>
      </c>
      <c r="U431">
        <f t="shared" si="334"/>
        <v>0.15301252998215797</v>
      </c>
      <c r="V431">
        <f t="shared" si="335"/>
        <v>-1.4171803408937296</v>
      </c>
      <c r="X431">
        <f t="shared" si="352"/>
        <v>-48.588392157440495</v>
      </c>
      <c r="Y431">
        <f t="shared" si="336"/>
        <v>-152.57058243770047</v>
      </c>
      <c r="Z431">
        <f t="shared" si="353"/>
        <v>27.429417562299534</v>
      </c>
      <c r="AC431">
        <v>1</v>
      </c>
      <c r="AD431">
        <f t="shared" si="337"/>
        <v>122.71060890900002</v>
      </c>
      <c r="AE431">
        <f t="shared" si="338"/>
        <v>-0.83654964104541973</v>
      </c>
      <c r="AF431">
        <f t="shared" si="339"/>
        <v>0.1295278649595</v>
      </c>
      <c r="AG431">
        <f t="shared" si="367"/>
        <v>21.013180951299759</v>
      </c>
      <c r="AH431">
        <f t="shared" si="368"/>
        <v>-143.43299017428643</v>
      </c>
      <c r="AJ431">
        <f t="shared" si="340"/>
        <v>10500</v>
      </c>
      <c r="AK431">
        <f t="shared" si="341"/>
        <v>2834.6150657979006</v>
      </c>
      <c r="AL431">
        <v>1</v>
      </c>
      <c r="AM431">
        <f t="shared" si="342"/>
        <v>129.11610269404983</v>
      </c>
      <c r="AN431">
        <f t="shared" si="369"/>
        <v>22.582483993519745</v>
      </c>
      <c r="AO431">
        <f t="shared" si="370"/>
        <v>-81.147256596131143</v>
      </c>
      <c r="AQ431">
        <f t="shared" si="343"/>
        <v>2.1236377660095213E-3</v>
      </c>
      <c r="AR431">
        <f t="shared" si="344"/>
        <v>-4.6082939522406612</v>
      </c>
      <c r="AT431">
        <f t="shared" si="365"/>
        <v>-660.93675678730619</v>
      </c>
      <c r="AU431">
        <f t="shared" si="366"/>
        <v>-97.139514410039126</v>
      </c>
      <c r="AV431">
        <f t="shared" si="354"/>
        <v>-2.9956649124849735</v>
      </c>
      <c r="AW431">
        <f t="shared" si="355"/>
        <v>-335.88912176996251</v>
      </c>
      <c r="AX431">
        <f t="shared" si="356"/>
        <v>-331.29141615869651</v>
      </c>
      <c r="AY431">
        <f t="shared" si="364"/>
        <v>-2.3630856277051953</v>
      </c>
      <c r="BA431">
        <f t="shared" si="345"/>
        <v>1.4159954482676076</v>
      </c>
      <c r="BB431">
        <f t="shared" si="357"/>
        <v>3.0212371462354799</v>
      </c>
      <c r="BC431">
        <f t="shared" si="358"/>
        <v>-0.63257928477977821</v>
      </c>
      <c r="BD431">
        <f t="shared" si="346"/>
        <v>-216.24412326670043</v>
      </c>
      <c r="BF431">
        <f t="shared" si="347"/>
        <v>-50.282931790667959</v>
      </c>
      <c r="BG431">
        <f t="shared" si="348"/>
        <v>-181.59798348659393</v>
      </c>
      <c r="BH431">
        <f t="shared" si="359"/>
        <v>-1.5979834865939324</v>
      </c>
      <c r="BI431">
        <f t="shared" si="360"/>
        <v>-1.5979834865939324</v>
      </c>
      <c r="BJ431">
        <f t="shared" si="349"/>
        <v>0</v>
      </c>
      <c r="BK431">
        <f t="shared" si="361"/>
        <v>0</v>
      </c>
      <c r="BM431">
        <f t="shared" si="362"/>
        <v>-53.304168936903437</v>
      </c>
      <c r="BN431">
        <f t="shared" si="350"/>
        <v>-145.35386021989351</v>
      </c>
      <c r="BQ431" s="56">
        <f t="shared" si="363"/>
        <v>19.923197946520617</v>
      </c>
    </row>
    <row r="432" spans="1:69" x14ac:dyDescent="0.2">
      <c r="A432">
        <f t="shared" si="371"/>
        <v>1090000</v>
      </c>
      <c r="B432">
        <f t="shared" si="351"/>
        <v>1090</v>
      </c>
      <c r="C432">
        <f t="shared" si="320"/>
        <v>1.2120408732734433</v>
      </c>
      <c r="D432">
        <f t="shared" si="321"/>
        <v>0.60049735647395019</v>
      </c>
      <c r="F432">
        <f t="shared" si="322"/>
        <v>1.1798441614473257E-4</v>
      </c>
      <c r="G432">
        <f t="shared" si="323"/>
        <v>6.3044594293634069E-3</v>
      </c>
      <c r="H432">
        <f t="shared" si="324"/>
        <v>-3.1352881905706367</v>
      </c>
      <c r="J432">
        <f t="shared" si="325"/>
        <v>15</v>
      </c>
      <c r="M432">
        <f t="shared" si="326"/>
        <v>7.3189829285947162E-4</v>
      </c>
      <c r="N432">
        <f t="shared" si="327"/>
        <v>-1.5707963250000001</v>
      </c>
      <c r="O432">
        <f t="shared" si="328"/>
        <v>123.28015145565246</v>
      </c>
      <c r="P432">
        <f t="shared" si="329"/>
        <v>1.5626846319691261</v>
      </c>
      <c r="Q432">
        <f t="shared" si="330"/>
        <v>129.71496243830362</v>
      </c>
      <c r="R432">
        <f t="shared" si="331"/>
        <v>1.5630870395485419</v>
      </c>
      <c r="S432">
        <f t="shared" si="332"/>
        <v>0.96513521515511413</v>
      </c>
      <c r="T432">
        <f t="shared" si="333"/>
        <v>-0.26483686290820635</v>
      </c>
      <c r="U432">
        <f t="shared" si="334"/>
        <v>0.15232696065526716</v>
      </c>
      <c r="V432">
        <f t="shared" si="335"/>
        <v>-1.4178740423145579</v>
      </c>
      <c r="X432">
        <f t="shared" si="352"/>
        <v>-48.657358419204826</v>
      </c>
      <c r="Y432">
        <f t="shared" si="336"/>
        <v>-152.55152532404892</v>
      </c>
      <c r="Z432">
        <f t="shared" si="353"/>
        <v>27.448474675951076</v>
      </c>
      <c r="AC432">
        <v>1</v>
      </c>
      <c r="AD432">
        <f t="shared" si="337"/>
        <v>123.27609558600001</v>
      </c>
      <c r="AE432">
        <f t="shared" si="338"/>
        <v>-0.84427754127381194</v>
      </c>
      <c r="AF432">
        <f t="shared" si="339"/>
        <v>0.13012476756300001</v>
      </c>
      <c r="AG432">
        <f t="shared" si="367"/>
        <v>20.825304579946529</v>
      </c>
      <c r="AH432">
        <f t="shared" si="368"/>
        <v>-142.80399723318513</v>
      </c>
      <c r="AJ432">
        <f t="shared" si="340"/>
        <v>10500</v>
      </c>
      <c r="AK432">
        <f t="shared" si="341"/>
        <v>2847.6778080366003</v>
      </c>
      <c r="AL432">
        <v>1</v>
      </c>
      <c r="AM432">
        <f t="shared" si="342"/>
        <v>129.7111077755892</v>
      </c>
      <c r="AN432">
        <f t="shared" si="369"/>
        <v>22.576731662213895</v>
      </c>
      <c r="AO432">
        <f t="shared" si="370"/>
        <v>-80.775065821383492</v>
      </c>
      <c r="AQ432">
        <f t="shared" si="343"/>
        <v>2.1041995404007365E-3</v>
      </c>
      <c r="AR432">
        <f t="shared" si="344"/>
        <v>-4.5871549980736051</v>
      </c>
      <c r="AT432">
        <f t="shared" si="365"/>
        <v>-655.02024905676853</v>
      </c>
      <c r="AU432">
        <f t="shared" si="366"/>
        <v>-95.829388095652305</v>
      </c>
      <c r="AV432">
        <f t="shared" si="354"/>
        <v>-2.9963233483710692</v>
      </c>
      <c r="AW432">
        <f t="shared" si="355"/>
        <v>-332.61062219312686</v>
      </c>
      <c r="AX432">
        <f t="shared" si="356"/>
        <v>-329.76510383244727</v>
      </c>
      <c r="AY432">
        <f t="shared" si="364"/>
        <v>-2.3604903916639612</v>
      </c>
      <c r="BA432">
        <f t="shared" si="345"/>
        <v>1.413383483293063</v>
      </c>
      <c r="BB432">
        <f t="shared" si="357"/>
        <v>3.0052002374289764</v>
      </c>
      <c r="BC432">
        <f t="shared" si="358"/>
        <v>-0.63583295670710793</v>
      </c>
      <c r="BD432">
        <f t="shared" si="346"/>
        <v>-216.43054493626965</v>
      </c>
      <c r="BF432">
        <f t="shared" si="347"/>
        <v>-50.366136313671063</v>
      </c>
      <c r="BG432">
        <f t="shared" si="348"/>
        <v>-181.66336184440809</v>
      </c>
      <c r="BH432">
        <f t="shared" si="359"/>
        <v>-1.6633618444080867</v>
      </c>
      <c r="BI432">
        <f t="shared" si="360"/>
        <v>-1.6633618444080867</v>
      </c>
      <c r="BJ432">
        <f t="shared" si="349"/>
        <v>0</v>
      </c>
      <c r="BK432">
        <f t="shared" si="361"/>
        <v>0</v>
      </c>
      <c r="BM432">
        <f t="shared" si="362"/>
        <v>-53.371336551100029</v>
      </c>
      <c r="BN432">
        <f t="shared" si="350"/>
        <v>-145.23281690813849</v>
      </c>
      <c r="BQ432" s="56">
        <f t="shared" si="363"/>
        <v>19.907161037714111</v>
      </c>
    </row>
    <row r="433" spans="1:69" x14ac:dyDescent="0.2">
      <c r="A433">
        <f t="shared" si="371"/>
        <v>1095000</v>
      </c>
      <c r="B433">
        <f t="shared" si="351"/>
        <v>1095</v>
      </c>
      <c r="C433">
        <f t="shared" si="320"/>
        <v>1.2138188067412987</v>
      </c>
      <c r="D433">
        <f t="shared" si="321"/>
        <v>0.60263275566811403</v>
      </c>
      <c r="F433">
        <f t="shared" si="322"/>
        <v>1.1690928587745637E-4</v>
      </c>
      <c r="G433">
        <f t="shared" si="323"/>
        <v>6.2756658195825222E-3</v>
      </c>
      <c r="H433">
        <f t="shared" si="324"/>
        <v>-3.1353169841804176</v>
      </c>
      <c r="J433">
        <f t="shared" si="325"/>
        <v>15</v>
      </c>
      <c r="M433">
        <f t="shared" si="326"/>
        <v>7.285562915222137E-4</v>
      </c>
      <c r="N433">
        <f t="shared" si="327"/>
        <v>-1.5707963250000001</v>
      </c>
      <c r="O433">
        <f t="shared" si="328"/>
        <v>123.84561961330483</v>
      </c>
      <c r="P433">
        <f t="shared" si="329"/>
        <v>1.5627216700578612</v>
      </c>
      <c r="Q433">
        <f t="shared" si="330"/>
        <v>130.30994991916288</v>
      </c>
      <c r="R433">
        <f t="shared" si="331"/>
        <v>1.5631222403881808</v>
      </c>
      <c r="S433">
        <f t="shared" si="332"/>
        <v>0.96483133601026516</v>
      </c>
      <c r="T433">
        <f t="shared" si="333"/>
        <v>-0.26599533271042208</v>
      </c>
      <c r="U433">
        <f t="shared" si="334"/>
        <v>0.15164743528063107</v>
      </c>
      <c r="V433">
        <f t="shared" si="335"/>
        <v>-1.4185615549070334</v>
      </c>
      <c r="X433">
        <f t="shared" si="352"/>
        <v>-48.725961202337899</v>
      </c>
      <c r="Y433">
        <f t="shared" si="336"/>
        <v>-152.53245372950212</v>
      </c>
      <c r="Z433">
        <f t="shared" si="353"/>
        <v>27.467546270497877</v>
      </c>
      <c r="AC433">
        <v>1</v>
      </c>
      <c r="AD433">
        <f t="shared" si="337"/>
        <v>123.84158226300001</v>
      </c>
      <c r="AE433">
        <f t="shared" si="338"/>
        <v>-0.85204097207796647</v>
      </c>
      <c r="AF433">
        <f t="shared" si="339"/>
        <v>0.13072167016649999</v>
      </c>
      <c r="AG433">
        <f t="shared" si="367"/>
        <v>20.639917061525182</v>
      </c>
      <c r="AH433">
        <f t="shared" si="368"/>
        <v>-142.18036667552894</v>
      </c>
      <c r="AJ433">
        <f t="shared" si="340"/>
        <v>10500</v>
      </c>
      <c r="AK433">
        <f t="shared" si="341"/>
        <v>2860.7405502753004</v>
      </c>
      <c r="AL433">
        <v>1</v>
      </c>
      <c r="AM433">
        <f t="shared" si="342"/>
        <v>130.30611285712862</v>
      </c>
      <c r="AN433">
        <f t="shared" si="369"/>
        <v>22.57105794373523</v>
      </c>
      <c r="AO433">
        <f t="shared" si="370"/>
        <v>-80.406273445851468</v>
      </c>
      <c r="AQ433">
        <f t="shared" si="343"/>
        <v>2.0850269833767054E-3</v>
      </c>
      <c r="AR433">
        <f t="shared" si="344"/>
        <v>-4.5662090935949848</v>
      </c>
      <c r="AT433">
        <f t="shared" si="365"/>
        <v>-649.18224846046166</v>
      </c>
      <c r="AU433">
        <f t="shared" si="366"/>
        <v>-94.542626878407432</v>
      </c>
      <c r="AV433">
        <f t="shared" si="354"/>
        <v>-2.996975917466135</v>
      </c>
      <c r="AW433">
        <f t="shared" si="355"/>
        <v>-329.3769850592127</v>
      </c>
      <c r="AX433">
        <f t="shared" si="356"/>
        <v>-328.25282946081268</v>
      </c>
      <c r="AY433">
        <f t="shared" si="364"/>
        <v>-2.357903893383364</v>
      </c>
      <c r="BA433">
        <f t="shared" si="345"/>
        <v>1.410772030755433</v>
      </c>
      <c r="BB433">
        <f t="shared" si="357"/>
        <v>2.9891368196115264</v>
      </c>
      <c r="BC433">
        <f t="shared" si="358"/>
        <v>-0.63907202408277097</v>
      </c>
      <c r="BD433">
        <f t="shared" si="346"/>
        <v>-216.61612982666571</v>
      </c>
      <c r="BF433">
        <f t="shared" si="347"/>
        <v>-50.448980603189497</v>
      </c>
      <c r="BG433">
        <f t="shared" si="348"/>
        <v>-181.72824712558241</v>
      </c>
      <c r="BH433">
        <f t="shared" si="359"/>
        <v>-1.7282471255824134</v>
      </c>
      <c r="BI433">
        <f t="shared" si="360"/>
        <v>-1.7282471255824134</v>
      </c>
      <c r="BJ433">
        <f t="shared" si="349"/>
        <v>0</v>
      </c>
      <c r="BK433">
        <f t="shared" si="361"/>
        <v>0</v>
      </c>
      <c r="BM433">
        <f t="shared" si="362"/>
        <v>-53.438117422801021</v>
      </c>
      <c r="BN433">
        <f t="shared" si="350"/>
        <v>-145.11211729891673</v>
      </c>
      <c r="BQ433" s="56">
        <f t="shared" si="363"/>
        <v>19.891097619896662</v>
      </c>
    </row>
    <row r="434" spans="1:69" x14ac:dyDescent="0.2">
      <c r="A434">
        <f>A433+5000</f>
        <v>1100000</v>
      </c>
      <c r="B434">
        <f t="shared" si="351"/>
        <v>1100</v>
      </c>
      <c r="C434">
        <f t="shared" si="320"/>
        <v>1.2156022589321915</v>
      </c>
      <c r="D434">
        <f t="shared" si="321"/>
        <v>0.60476189871104202</v>
      </c>
      <c r="F434">
        <f t="shared" si="322"/>
        <v>1.1584878506027087E-4</v>
      </c>
      <c r="G434">
        <f t="shared" si="323"/>
        <v>6.2471340528384798E-3</v>
      </c>
      <c r="H434">
        <f t="shared" si="324"/>
        <v>-3.1353455159471619</v>
      </c>
      <c r="J434">
        <f t="shared" si="325"/>
        <v>15</v>
      </c>
      <c r="M434">
        <f t="shared" si="326"/>
        <v>7.2524467201529454E-4</v>
      </c>
      <c r="N434">
        <f t="shared" si="327"/>
        <v>-1.5707963250000001</v>
      </c>
      <c r="O434">
        <f t="shared" si="328"/>
        <v>124.41108793930673</v>
      </c>
      <c r="P434">
        <f t="shared" si="329"/>
        <v>1.5627583714585522</v>
      </c>
      <c r="Q434">
        <f t="shared" si="330"/>
        <v>130.90493756002127</v>
      </c>
      <c r="R434">
        <f t="shared" si="331"/>
        <v>1.5631571212389466</v>
      </c>
      <c r="S434">
        <f t="shared" si="332"/>
        <v>0.96452635494013106</v>
      </c>
      <c r="T434">
        <f t="shared" si="333"/>
        <v>-0.26715307168603764</v>
      </c>
      <c r="U434">
        <f t="shared" si="334"/>
        <v>0.15097387524635481</v>
      </c>
      <c r="V434">
        <f t="shared" si="335"/>
        <v>-1.4192429604820911</v>
      </c>
      <c r="X434">
        <f t="shared" si="352"/>
        <v>-48.794203890005434</v>
      </c>
      <c r="Y434">
        <f t="shared" si="336"/>
        <v>-152.51337142872896</v>
      </c>
      <c r="Z434">
        <f t="shared" si="353"/>
        <v>27.486628571271041</v>
      </c>
      <c r="AC434">
        <v>1</v>
      </c>
      <c r="AD434">
        <f t="shared" si="337"/>
        <v>124.40706894000002</v>
      </c>
      <c r="AE434">
        <f t="shared" si="338"/>
        <v>-0.85983993345788423</v>
      </c>
      <c r="AF434">
        <f t="shared" si="339"/>
        <v>0.13131857277</v>
      </c>
      <c r="AG434">
        <f t="shared" si="367"/>
        <v>20.456974975723579</v>
      </c>
      <c r="AH434">
        <f t="shared" si="368"/>
        <v>-141.56203200925</v>
      </c>
      <c r="AJ434">
        <f t="shared" si="340"/>
        <v>10500</v>
      </c>
      <c r="AK434">
        <f t="shared" si="341"/>
        <v>2873.8032925140005</v>
      </c>
      <c r="AL434">
        <v>1</v>
      </c>
      <c r="AM434">
        <f t="shared" si="342"/>
        <v>130.90111793866802</v>
      </c>
      <c r="AN434">
        <f t="shared" si="369"/>
        <v>22.565461412152381</v>
      </c>
      <c r="AO434">
        <f t="shared" si="370"/>
        <v>-80.040833138620783</v>
      </c>
      <c r="AQ434">
        <f t="shared" si="343"/>
        <v>2.0661152755960172E-3</v>
      </c>
      <c r="AR434">
        <f t="shared" si="344"/>
        <v>-4.5454536063112387</v>
      </c>
      <c r="AT434">
        <f t="shared" si="365"/>
        <v>-643.42138244470254</v>
      </c>
      <c r="AU434">
        <f t="shared" si="366"/>
        <v>-93.278714154400234</v>
      </c>
      <c r="AV434">
        <f t="shared" si="354"/>
        <v>-2.9976226971900912</v>
      </c>
      <c r="AW434">
        <f t="shared" si="355"/>
        <v>-326.18739536139572</v>
      </c>
      <c r="AX434">
        <f t="shared" si="356"/>
        <v>-326.75439963547677</v>
      </c>
      <c r="AY434">
        <f t="shared" si="364"/>
        <v>-2.3553261063089703</v>
      </c>
      <c r="BA434">
        <f t="shared" si="345"/>
        <v>1.4081612082760582</v>
      </c>
      <c r="BB434">
        <f t="shared" si="357"/>
        <v>2.9730475259094802</v>
      </c>
      <c r="BC434">
        <f t="shared" si="358"/>
        <v>-0.6422965908811209</v>
      </c>
      <c r="BD434">
        <f t="shared" si="346"/>
        <v>-216.80088389518028</v>
      </c>
      <c r="BF434">
        <f t="shared" si="347"/>
        <v>-50.531467652408921</v>
      </c>
      <c r="BG434">
        <f t="shared" si="348"/>
        <v>-181.79264503343657</v>
      </c>
      <c r="BH434">
        <f t="shared" si="359"/>
        <v>-1.7926450334365711</v>
      </c>
      <c r="BI434">
        <f t="shared" si="360"/>
        <v>-1.7926450334365711</v>
      </c>
      <c r="BJ434">
        <f t="shared" si="349"/>
        <v>0</v>
      </c>
      <c r="BK434">
        <f t="shared" si="361"/>
        <v>0</v>
      </c>
      <c r="BM434">
        <f t="shared" si="362"/>
        <v>-53.5045151783184</v>
      </c>
      <c r="BN434">
        <f t="shared" si="350"/>
        <v>-144.99176113825629</v>
      </c>
      <c r="BQ434" s="56">
        <f t="shared" si="363"/>
        <v>19.875008326194617</v>
      </c>
    </row>
    <row r="435" spans="1:69" x14ac:dyDescent="0.2">
      <c r="A435">
        <f t="shared" ref="A435:A472" si="372">A434+5000</f>
        <v>1105000</v>
      </c>
      <c r="B435">
        <f t="shared" si="351"/>
        <v>1105</v>
      </c>
      <c r="C435">
        <f t="shared" si="320"/>
        <v>1.2173912055916867</v>
      </c>
      <c r="D435">
        <f t="shared" si="321"/>
        <v>0.60688479383664728</v>
      </c>
      <c r="F435">
        <f t="shared" si="322"/>
        <v>1.1480264946348643E-4</v>
      </c>
      <c r="G435">
        <f t="shared" si="323"/>
        <v>6.2188605732095481E-3</v>
      </c>
      <c r="H435">
        <f t="shared" si="324"/>
        <v>-3.1353737894267906</v>
      </c>
      <c r="J435">
        <f t="shared" si="325"/>
        <v>15</v>
      </c>
      <c r="M435">
        <f t="shared" si="326"/>
        <v>7.2196302191567788E-4</v>
      </c>
      <c r="N435">
        <f t="shared" si="327"/>
        <v>-1.5707963250000001</v>
      </c>
      <c r="O435">
        <f t="shared" si="328"/>
        <v>124.97655643137297</v>
      </c>
      <c r="P435">
        <f t="shared" si="329"/>
        <v>1.5627947407412324</v>
      </c>
      <c r="Q435">
        <f t="shared" si="330"/>
        <v>131.49992535870703</v>
      </c>
      <c r="R435">
        <f t="shared" si="331"/>
        <v>1.5631916864442423</v>
      </c>
      <c r="S435">
        <f t="shared" si="332"/>
        <v>0.96422027544086453</v>
      </c>
      <c r="T435">
        <f t="shared" si="333"/>
        <v>-0.26831007742577345</v>
      </c>
      <c r="U435">
        <f t="shared" si="334"/>
        <v>0.15030620328079033</v>
      </c>
      <c r="V435">
        <f t="shared" si="335"/>
        <v>-1.419918339426365</v>
      </c>
      <c r="X435">
        <f t="shared" si="352"/>
        <v>-48.862089823108633</v>
      </c>
      <c r="Y435">
        <f t="shared" si="336"/>
        <v>-152.49428211077117</v>
      </c>
      <c r="Z435">
        <f t="shared" si="353"/>
        <v>27.505717889228833</v>
      </c>
      <c r="AC435">
        <v>1</v>
      </c>
      <c r="AD435">
        <f t="shared" si="337"/>
        <v>124.97255561700001</v>
      </c>
      <c r="AE435">
        <f t="shared" si="338"/>
        <v>-0.86767442541356454</v>
      </c>
      <c r="AF435">
        <f t="shared" si="339"/>
        <v>0.13191547537349999</v>
      </c>
      <c r="AG435">
        <f t="shared" si="367"/>
        <v>20.276435837336138</v>
      </c>
      <c r="AH435">
        <f t="shared" si="368"/>
        <v>-140.94892780358953</v>
      </c>
      <c r="AJ435">
        <f t="shared" si="340"/>
        <v>10500</v>
      </c>
      <c r="AK435">
        <f t="shared" si="341"/>
        <v>2886.8660347527002</v>
      </c>
      <c r="AL435">
        <v>1</v>
      </c>
      <c r="AM435">
        <f t="shared" si="342"/>
        <v>131.49612302020739</v>
      </c>
      <c r="AN435">
        <f t="shared" si="369"/>
        <v>22.559940673717989</v>
      </c>
      <c r="AO435">
        <f t="shared" si="370"/>
        <v>-79.678699407101021</v>
      </c>
      <c r="AQ435">
        <f t="shared" si="343"/>
        <v>2.0474597065048409E-3</v>
      </c>
      <c r="AR435">
        <f t="shared" si="344"/>
        <v>-4.5248859513756985</v>
      </c>
      <c r="AT435">
        <f t="shared" si="365"/>
        <v>-637.73630809456142</v>
      </c>
      <c r="AU435">
        <f t="shared" si="366"/>
        <v>-92.037146914685934</v>
      </c>
      <c r="AV435">
        <f t="shared" si="354"/>
        <v>-2.9982637636180249</v>
      </c>
      <c r="AW435">
        <f t="shared" si="355"/>
        <v>-323.04105652083922</v>
      </c>
      <c r="AX435">
        <f t="shared" si="356"/>
        <v>-325.26962449827084</v>
      </c>
      <c r="AY435">
        <f t="shared" si="364"/>
        <v>-2.3527570037142533</v>
      </c>
      <c r="BA435">
        <f t="shared" si="345"/>
        <v>1.4055511311857714</v>
      </c>
      <c r="BB435">
        <f t="shared" si="357"/>
        <v>2.9569329801985904</v>
      </c>
      <c r="BC435">
        <f t="shared" si="358"/>
        <v>-0.6455067599037716</v>
      </c>
      <c r="BD435">
        <f t="shared" si="346"/>
        <v>-216.98481303191198</v>
      </c>
      <c r="BF435">
        <f t="shared" si="347"/>
        <v>-50.613600416663758</v>
      </c>
      <c r="BG435">
        <f t="shared" si="348"/>
        <v>-181.85656119003988</v>
      </c>
      <c r="BH435">
        <f t="shared" si="359"/>
        <v>-1.8565611900398835</v>
      </c>
      <c r="BI435">
        <f t="shared" si="360"/>
        <v>-1.8565611900398835</v>
      </c>
      <c r="BJ435">
        <f t="shared" si="349"/>
        <v>0</v>
      </c>
      <c r="BK435">
        <f t="shared" si="361"/>
        <v>0</v>
      </c>
      <c r="BM435">
        <f t="shared" si="362"/>
        <v>-53.570533396862352</v>
      </c>
      <c r="BN435">
        <f t="shared" si="350"/>
        <v>-144.87174815812793</v>
      </c>
      <c r="BQ435" s="56">
        <f t="shared" si="363"/>
        <v>19.858893780483729</v>
      </c>
    </row>
    <row r="436" spans="1:69" x14ac:dyDescent="0.2">
      <c r="A436">
        <f t="shared" si="372"/>
        <v>1110000</v>
      </c>
      <c r="B436">
        <f t="shared" si="351"/>
        <v>1110</v>
      </c>
      <c r="C436">
        <f t="shared" si="320"/>
        <v>1.2191856225332018</v>
      </c>
      <c r="D436">
        <f t="shared" si="321"/>
        <v>0.60900144945584889</v>
      </c>
      <c r="F436">
        <f t="shared" si="322"/>
        <v>1.1377062079625672E-4</v>
      </c>
      <c r="G436">
        <f t="shared" si="323"/>
        <v>6.1908418888780258E-3</v>
      </c>
      <c r="H436">
        <f t="shared" si="324"/>
        <v>-3.1354018081111223</v>
      </c>
      <c r="J436">
        <f t="shared" si="325"/>
        <v>15</v>
      </c>
      <c r="M436">
        <f t="shared" si="326"/>
        <v>7.1871093623137304E-4</v>
      </c>
      <c r="N436">
        <f t="shared" si="327"/>
        <v>-1.5707963250000001</v>
      </c>
      <c r="O436">
        <f t="shared" si="328"/>
        <v>125.54202508725965</v>
      </c>
      <c r="P436">
        <f t="shared" si="329"/>
        <v>1.5628307823936003</v>
      </c>
      <c r="Q436">
        <f t="shared" si="330"/>
        <v>132.09491331308743</v>
      </c>
      <c r="R436">
        <f t="shared" si="331"/>
        <v>1.5632259402692195</v>
      </c>
      <c r="S436">
        <f t="shared" si="332"/>
        <v>0.9639131010150922</v>
      </c>
      <c r="T436">
        <f t="shared" si="333"/>
        <v>-0.2694663475312532</v>
      </c>
      <c r="U436">
        <f t="shared" si="334"/>
        <v>0.14964434342447988</v>
      </c>
      <c r="V436">
        <f t="shared" si="335"/>
        <v>-1.420587770732801</v>
      </c>
      <c r="X436">
        <f t="shared" si="352"/>
        <v>-48.929622300972966</v>
      </c>
      <c r="Y436">
        <f t="shared" si="336"/>
        <v>-152.47518938082925</v>
      </c>
      <c r="Z436">
        <f t="shared" si="353"/>
        <v>27.524810619170751</v>
      </c>
      <c r="AC436">
        <v>1</v>
      </c>
      <c r="AD436">
        <f t="shared" si="337"/>
        <v>125.53804229400001</v>
      </c>
      <c r="AE436">
        <f t="shared" si="338"/>
        <v>-0.87554444794500752</v>
      </c>
      <c r="AF436">
        <f t="shared" si="339"/>
        <v>0.132512377977</v>
      </c>
      <c r="AG436">
        <f t="shared" si="367"/>
        <v>20.098258072403723</v>
      </c>
      <c r="AH436">
        <f t="shared" si="368"/>
        <v>-140.34098966880555</v>
      </c>
      <c r="AJ436">
        <f t="shared" si="340"/>
        <v>10500</v>
      </c>
      <c r="AK436">
        <f t="shared" si="341"/>
        <v>2899.9287769914004</v>
      </c>
      <c r="AL436">
        <v>1</v>
      </c>
      <c r="AM436">
        <f t="shared" si="342"/>
        <v>132.09112810174682</v>
      </c>
      <c r="AN436">
        <f t="shared" si="369"/>
        <v>22.554494366000895</v>
      </c>
      <c r="AO436">
        <f t="shared" si="370"/>
        <v>-79.319827578150878</v>
      </c>
      <c r="AQ436">
        <f t="shared" si="343"/>
        <v>2.0290556714033618E-3</v>
      </c>
      <c r="AR436">
        <f t="shared" si="344"/>
        <v>-4.5045035905154629</v>
      </c>
      <c r="AT436">
        <f t="shared" si="365"/>
        <v>-632.12571137510099</v>
      </c>
      <c r="AU436">
        <f t="shared" si="366"/>
        <v>-90.817435331266807</v>
      </c>
      <c r="AV436">
        <f t="shared" si="354"/>
        <v>-2.9988991915090097</v>
      </c>
      <c r="AW436">
        <f t="shared" si="355"/>
        <v>-319.93718988884262</v>
      </c>
      <c r="AX436">
        <f t="shared" si="356"/>
        <v>-323.79831765973461</v>
      </c>
      <c r="AY436">
        <f t="shared" si="364"/>
        <v>-2.350196558706644</v>
      </c>
      <c r="BA436">
        <f t="shared" si="345"/>
        <v>1.4029419125649338</v>
      </c>
      <c r="BB436">
        <f t="shared" si="357"/>
        <v>2.9407937972634119</v>
      </c>
      <c r="BC436">
        <f t="shared" si="358"/>
        <v>-0.64870263280236573</v>
      </c>
      <c r="BD436">
        <f t="shared" si="346"/>
        <v>-217.16792306107089</v>
      </c>
      <c r="BF436">
        <f t="shared" si="347"/>
        <v>-50.695381814094446</v>
      </c>
      <c r="BG436">
        <f t="shared" si="348"/>
        <v>-181.92000113775887</v>
      </c>
      <c r="BH436">
        <f t="shared" si="359"/>
        <v>-1.9200011377588737</v>
      </c>
      <c r="BI436">
        <f t="shared" si="360"/>
        <v>-1.9200011377588737</v>
      </c>
      <c r="BJ436">
        <f t="shared" si="349"/>
        <v>0</v>
      </c>
      <c r="BK436">
        <f t="shared" si="361"/>
        <v>0</v>
      </c>
      <c r="BM436">
        <f t="shared" si="362"/>
        <v>-53.636175611357856</v>
      </c>
      <c r="BN436">
        <f t="shared" si="350"/>
        <v>-144.75207807668801</v>
      </c>
      <c r="BQ436" s="56">
        <f t="shared" si="363"/>
        <v>19.842754597548549</v>
      </c>
    </row>
    <row r="437" spans="1:69" x14ac:dyDescent="0.2">
      <c r="A437">
        <f t="shared" si="372"/>
        <v>1115000</v>
      </c>
      <c r="B437">
        <f t="shared" si="351"/>
        <v>1115</v>
      </c>
      <c r="C437">
        <f t="shared" si="320"/>
        <v>1.2209854856385962</v>
      </c>
      <c r="D437">
        <f t="shared" si="321"/>
        <v>0.61111187415383217</v>
      </c>
      <c r="F437">
        <f t="shared" si="322"/>
        <v>1.1275244654711287E-4</v>
      </c>
      <c r="G437">
        <f t="shared" si="323"/>
        <v>6.1630745706920415E-3</v>
      </c>
      <c r="H437">
        <f t="shared" si="324"/>
        <v>-3.135429575429308</v>
      </c>
      <c r="J437">
        <f t="shared" si="325"/>
        <v>15</v>
      </c>
      <c r="M437">
        <f t="shared" si="326"/>
        <v>7.1548801723481971E-4</v>
      </c>
      <c r="N437">
        <f t="shared" si="327"/>
        <v>-1.5707963250000001</v>
      </c>
      <c r="O437">
        <f t="shared" si="328"/>
        <v>126.10749390476298</v>
      </c>
      <c r="P437">
        <f t="shared" si="329"/>
        <v>1.562866500822867</v>
      </c>
      <c r="Q437">
        <f t="shared" si="330"/>
        <v>132.68990142106804</v>
      </c>
      <c r="R437">
        <f t="shared" si="331"/>
        <v>1.5632598869025311</v>
      </c>
      <c r="S437">
        <f t="shared" si="332"/>
        <v>0.96360483517181694</v>
      </c>
      <c r="T437">
        <f t="shared" si="333"/>
        <v>-0.27062187961501771</v>
      </c>
      <c r="U437">
        <f t="shared" si="334"/>
        <v>0.14898822100279038</v>
      </c>
      <c r="V437">
        <f t="shared" si="335"/>
        <v>-1.4212513320304878</v>
      </c>
      <c r="X437">
        <f t="shared" si="352"/>
        <v>-48.996804582022541</v>
      </c>
      <c r="Y437">
        <f t="shared" si="336"/>
        <v>-152.45609676200536</v>
      </c>
      <c r="Z437">
        <f t="shared" si="353"/>
        <v>27.543903237994641</v>
      </c>
      <c r="AC437">
        <v>1</v>
      </c>
      <c r="AD437">
        <f t="shared" si="337"/>
        <v>126.10352897100002</v>
      </c>
      <c r="AE437">
        <f t="shared" si="338"/>
        <v>-0.88345000105221327</v>
      </c>
      <c r="AF437">
        <f t="shared" si="339"/>
        <v>0.13310928058050001</v>
      </c>
      <c r="AG437">
        <f t="shared" si="367"/>
        <v>19.922400995054627</v>
      </c>
      <c r="AH437">
        <f t="shared" si="368"/>
        <v>-139.73815423632095</v>
      </c>
      <c r="AJ437">
        <f t="shared" si="340"/>
        <v>10500</v>
      </c>
      <c r="AK437">
        <f t="shared" si="341"/>
        <v>2912.9915192301005</v>
      </c>
      <c r="AL437">
        <v>1</v>
      </c>
      <c r="AM437">
        <f t="shared" si="342"/>
        <v>132.68613318328622</v>
      </c>
      <c r="AN437">
        <f t="shared" si="369"/>
        <v>22.549121157045619</v>
      </c>
      <c r="AO437">
        <f t="shared" si="370"/>
        <v>-78.964173779711487</v>
      </c>
      <c r="AQ437">
        <f t="shared" si="343"/>
        <v>2.0108986686041006E-3</v>
      </c>
      <c r="AR437">
        <f t="shared" si="344"/>
        <v>-4.4843040309871443</v>
      </c>
      <c r="AT437">
        <f t="shared" si="365"/>
        <v>-626.58830639500093</v>
      </c>
      <c r="AU437">
        <f t="shared" si="366"/>
        <v>-89.619102357372768</v>
      </c>
      <c r="AV437">
        <f t="shared" si="354"/>
        <v>-2.9995290543341988</v>
      </c>
      <c r="AW437">
        <f t="shared" si="355"/>
        <v>-316.87503426461456</v>
      </c>
      <c r="AX437">
        <f t="shared" si="356"/>
        <v>-322.34029611992031</v>
      </c>
      <c r="AY437">
        <f t="shared" si="364"/>
        <v>-2.3476447442334756</v>
      </c>
      <c r="BA437">
        <f t="shared" si="345"/>
        <v>1.4003336632826264</v>
      </c>
      <c r="BB437">
        <f t="shared" si="357"/>
        <v>2.924630582952743</v>
      </c>
      <c r="BC437">
        <f t="shared" si="358"/>
        <v>-0.65188431010072323</v>
      </c>
      <c r="BD437">
        <f t="shared" si="346"/>
        <v>-217.35021974224767</v>
      </c>
      <c r="BF437">
        <f t="shared" si="347"/>
        <v>-50.776814726290375</v>
      </c>
      <c r="BG437">
        <f t="shared" si="348"/>
        <v>-181.98297034076515</v>
      </c>
      <c r="BH437">
        <f t="shared" si="359"/>
        <v>-1.9829703407651493</v>
      </c>
      <c r="BI437">
        <f t="shared" si="360"/>
        <v>-1.9829703407651493</v>
      </c>
      <c r="BJ437">
        <f t="shared" si="349"/>
        <v>0</v>
      </c>
      <c r="BK437">
        <f t="shared" si="361"/>
        <v>0</v>
      </c>
      <c r="BM437">
        <f t="shared" si="362"/>
        <v>-53.701445309243113</v>
      </c>
      <c r="BN437">
        <f t="shared" si="350"/>
        <v>-144.63275059851748</v>
      </c>
      <c r="BQ437" s="56">
        <f t="shared" si="363"/>
        <v>19.826591383237879</v>
      </c>
    </row>
    <row r="438" spans="1:69" x14ac:dyDescent="0.2">
      <c r="A438">
        <f t="shared" si="372"/>
        <v>1120000</v>
      </c>
      <c r="B438">
        <f t="shared" si="351"/>
        <v>1120</v>
      </c>
      <c r="C438">
        <f t="shared" si="320"/>
        <v>1.2227907708587449</v>
      </c>
      <c r="D438">
        <f t="shared" si="321"/>
        <v>0.61321607668732636</v>
      </c>
      <c r="F438">
        <f t="shared" si="322"/>
        <v>1.1174787982947029E-4</v>
      </c>
      <c r="G438">
        <f t="shared" si="323"/>
        <v>6.1355552507658985E-3</v>
      </c>
      <c r="H438">
        <f t="shared" si="324"/>
        <v>-3.1354570947492344</v>
      </c>
      <c r="J438">
        <f t="shared" si="325"/>
        <v>15</v>
      </c>
      <c r="M438">
        <f t="shared" si="326"/>
        <v>7.1229387430073567E-4</v>
      </c>
      <c r="N438">
        <f t="shared" si="327"/>
        <v>-1.5707963250000001</v>
      </c>
      <c r="O438">
        <f t="shared" si="328"/>
        <v>126.67296288171863</v>
      </c>
      <c r="P438">
        <f t="shared" si="329"/>
        <v>1.5629019003575511</v>
      </c>
      <c r="Q438">
        <f t="shared" si="330"/>
        <v>133.2848896805919</v>
      </c>
      <c r="R438">
        <f t="shared" si="331"/>
        <v>1.5632935304580409</v>
      </c>
      <c r="S438">
        <f t="shared" si="332"/>
        <v>0.96329548142631793</v>
      </c>
      <c r="T438">
        <f t="shared" si="333"/>
        <v>-0.27177667130053779</v>
      </c>
      <c r="U438">
        <f t="shared" si="334"/>
        <v>0.14833776259922057</v>
      </c>
      <c r="V438">
        <f t="shared" si="335"/>
        <v>-1.4219090996137336</v>
      </c>
      <c r="X438">
        <f t="shared" si="352"/>
        <v>-49.063639884440761</v>
      </c>
      <c r="Y438">
        <f t="shared" si="336"/>
        <v>-152.43700769700544</v>
      </c>
      <c r="Z438">
        <f t="shared" si="353"/>
        <v>27.562992302994559</v>
      </c>
      <c r="AC438">
        <v>1</v>
      </c>
      <c r="AD438">
        <f t="shared" si="337"/>
        <v>126.66901564800001</v>
      </c>
      <c r="AE438">
        <f t="shared" si="338"/>
        <v>-0.89139108473518169</v>
      </c>
      <c r="AF438">
        <f t="shared" si="339"/>
        <v>0.13370618318399999</v>
      </c>
      <c r="AG438">
        <f t="shared" si="367"/>
        <v>19.748824785023377</v>
      </c>
      <c r="AH438">
        <f t="shared" si="368"/>
        <v>-139.14035913930175</v>
      </c>
      <c r="AJ438">
        <f t="shared" si="340"/>
        <v>10500</v>
      </c>
      <c r="AK438">
        <f t="shared" si="341"/>
        <v>2926.0542614688002</v>
      </c>
      <c r="AL438">
        <v>1</v>
      </c>
      <c r="AM438">
        <f t="shared" si="342"/>
        <v>133.28113826482561</v>
      </c>
      <c r="AN438">
        <f t="shared" si="369"/>
        <v>22.543819744557929</v>
      </c>
      <c r="AO438">
        <f t="shared" si="370"/>
        <v>-78.611694922930894</v>
      </c>
      <c r="AQ438">
        <f t="shared" si="343"/>
        <v>1.992984296678831E-3</v>
      </c>
      <c r="AR438">
        <f t="shared" si="344"/>
        <v>-4.4642848245605817</v>
      </c>
      <c r="AT438">
        <f t="shared" si="365"/>
        <v>-621.12283469181966</v>
      </c>
      <c r="AU438">
        <f t="shared" si="366"/>
        <v>-88.441683341484648</v>
      </c>
      <c r="AV438">
        <f t="shared" si="354"/>
        <v>-3.0001534243042047</v>
      </c>
      <c r="AW438">
        <f t="shared" si="355"/>
        <v>-313.85384542810982</v>
      </c>
      <c r="AX438">
        <f t="shared" si="356"/>
        <v>-320.8953801913666</v>
      </c>
      <c r="AY438">
        <f t="shared" si="364"/>
        <v>-2.3451015330878238</v>
      </c>
      <c r="BA438">
        <f t="shared" si="345"/>
        <v>1.3977264920350341</v>
      </c>
      <c r="BB438">
        <f t="shared" si="357"/>
        <v>2.908443934331336</v>
      </c>
      <c r="BC438">
        <f t="shared" si="358"/>
        <v>-0.65505189121638097</v>
      </c>
      <c r="BD438">
        <f t="shared" si="346"/>
        <v>-217.53170877164757</v>
      </c>
      <c r="BF438">
        <f t="shared" si="347"/>
        <v>-50.857901998919019</v>
      </c>
      <c r="BG438">
        <f t="shared" si="348"/>
        <v>-182.045474186506</v>
      </c>
      <c r="BH438">
        <f t="shared" si="359"/>
        <v>-2.0454741865059987</v>
      </c>
      <c r="BI438">
        <f t="shared" si="360"/>
        <v>-2.0454741865059987</v>
      </c>
      <c r="BJ438">
        <f t="shared" si="349"/>
        <v>0</v>
      </c>
      <c r="BK438">
        <f t="shared" si="361"/>
        <v>0</v>
      </c>
      <c r="BM438">
        <f t="shared" si="362"/>
        <v>-53.766345933250356</v>
      </c>
      <c r="BN438">
        <f t="shared" si="350"/>
        <v>-144.51376541485843</v>
      </c>
      <c r="BQ438" s="56">
        <f t="shared" si="363"/>
        <v>19.810404734616473</v>
      </c>
    </row>
    <row r="439" spans="1:69" x14ac:dyDescent="0.2">
      <c r="A439">
        <f t="shared" si="372"/>
        <v>1125000</v>
      </c>
      <c r="B439">
        <f t="shared" si="351"/>
        <v>1125</v>
      </c>
      <c r="C439">
        <f t="shared" si="320"/>
        <v>1.2246014542140986</v>
      </c>
      <c r="D439">
        <f t="shared" si="321"/>
        <v>0.61531406598189997</v>
      </c>
      <c r="F439">
        <f t="shared" si="322"/>
        <v>1.1075667923193312E-4</v>
      </c>
      <c r="G439">
        <f t="shared" si="323"/>
        <v>6.1082806211177794E-3</v>
      </c>
      <c r="H439">
        <f t="shared" si="324"/>
        <v>-3.1354843693788825</v>
      </c>
      <c r="J439">
        <f t="shared" si="325"/>
        <v>15</v>
      </c>
      <c r="M439">
        <f t="shared" si="326"/>
        <v>7.0912812374828804E-4</v>
      </c>
      <c r="N439">
        <f t="shared" si="327"/>
        <v>-1.5707963250000001</v>
      </c>
      <c r="O439">
        <f t="shared" si="328"/>
        <v>127.23843201600069</v>
      </c>
      <c r="P439">
        <f t="shared" si="329"/>
        <v>1.5629369852492279</v>
      </c>
      <c r="Q439">
        <f t="shared" si="330"/>
        <v>133.87987808963851</v>
      </c>
      <c r="R439">
        <f t="shared" si="331"/>
        <v>1.5633268749764833</v>
      </c>
      <c r="S439">
        <f t="shared" si="332"/>
        <v>0.96298504330005308</v>
      </c>
      <c r="T439">
        <f t="shared" si="333"/>
        <v>-0.27293072022222775</v>
      </c>
      <c r="U439">
        <f t="shared" si="334"/>
        <v>0.14769289602936078</v>
      </c>
      <c r="V439">
        <f t="shared" si="335"/>
        <v>-1.4225611484704062</v>
      </c>
      <c r="X439">
        <f t="shared" si="352"/>
        <v>-49.130131386817297</v>
      </c>
      <c r="Y439">
        <f t="shared" si="336"/>
        <v>-152.41792554980128</v>
      </c>
      <c r="Z439">
        <f t="shared" si="353"/>
        <v>27.582074450198718</v>
      </c>
      <c r="AC439">
        <v>1</v>
      </c>
      <c r="AD439">
        <f t="shared" si="337"/>
        <v>127.23450232500001</v>
      </c>
      <c r="AE439">
        <f t="shared" si="338"/>
        <v>-0.899367698993913</v>
      </c>
      <c r="AF439">
        <f t="shared" si="339"/>
        <v>0.1343030857875</v>
      </c>
      <c r="AG439">
        <f t="shared" si="367"/>
        <v>19.577490465824983</v>
      </c>
      <c r="AH439">
        <f t="shared" si="368"/>
        <v>-138.54754299365567</v>
      </c>
      <c r="AJ439">
        <f t="shared" si="340"/>
        <v>10500</v>
      </c>
      <c r="AK439">
        <f t="shared" si="341"/>
        <v>2939.1170037075003</v>
      </c>
      <c r="AL439">
        <v>1</v>
      </c>
      <c r="AM439">
        <f t="shared" si="342"/>
        <v>133.87614334636501</v>
      </c>
      <c r="AN439">
        <f t="shared" si="369"/>
        <v>22.53858885511579</v>
      </c>
      <c r="AO439">
        <f t="shared" si="370"/>
        <v>-78.262348684765627</v>
      </c>
      <c r="AQ439">
        <f t="shared" si="343"/>
        <v>1.9753082517909625E-3</v>
      </c>
      <c r="AR439">
        <f t="shared" si="344"/>
        <v>-4.4444435665296655</v>
      </c>
      <c r="AT439">
        <f t="shared" si="365"/>
        <v>-615.72806453817861</v>
      </c>
      <c r="AU439">
        <f t="shared" si="366"/>
        <v>-87.284725654572441</v>
      </c>
      <c r="AV439">
        <f t="shared" si="354"/>
        <v>-3.0007723723957906</v>
      </c>
      <c r="AW439">
        <f t="shared" si="355"/>
        <v>-310.87289568739948</v>
      </c>
      <c r="AX439">
        <f t="shared" si="356"/>
        <v>-319.46339342417423</v>
      </c>
      <c r="AY439">
        <f t="shared" si="364"/>
        <v>-2.3425668979142409</v>
      </c>
      <c r="BA439">
        <f t="shared" si="345"/>
        <v>1.3951205053830293</v>
      </c>
      <c r="BB439">
        <f t="shared" si="357"/>
        <v>2.892234439827873</v>
      </c>
      <c r="BC439">
        <f t="shared" si="358"/>
        <v>-0.65820547448154976</v>
      </c>
      <c r="BD439">
        <f t="shared" si="346"/>
        <v>-217.7123957832913</v>
      </c>
      <c r="BF439">
        <f t="shared" si="347"/>
        <v>-50.938646442341557</v>
      </c>
      <c r="BG439">
        <f t="shared" si="348"/>
        <v>-182.10751798713807</v>
      </c>
      <c r="BH439">
        <f t="shared" si="359"/>
        <v>-2.1075179871380669</v>
      </c>
      <c r="BI439">
        <f t="shared" si="360"/>
        <v>-2.1075179871380669</v>
      </c>
      <c r="BJ439">
        <f t="shared" si="349"/>
        <v>0</v>
      </c>
      <c r="BK439">
        <f t="shared" si="361"/>
        <v>0</v>
      </c>
      <c r="BM439">
        <f t="shared" si="362"/>
        <v>-53.830880882169431</v>
      </c>
      <c r="BN439">
        <f t="shared" si="350"/>
        <v>-144.39512220384677</v>
      </c>
      <c r="BQ439" s="56">
        <f t="shared" si="363"/>
        <v>19.794195240113009</v>
      </c>
    </row>
    <row r="440" spans="1:69" x14ac:dyDescent="0.2">
      <c r="A440">
        <f t="shared" si="372"/>
        <v>1130000</v>
      </c>
      <c r="B440">
        <f t="shared" si="351"/>
        <v>1130</v>
      </c>
      <c r="C440">
        <f t="shared" si="320"/>
        <v>1.2264175117952303</v>
      </c>
      <c r="D440">
        <f t="shared" si="321"/>
        <v>0.61740585112927249</v>
      </c>
      <c r="F440">
        <f t="shared" si="322"/>
        <v>1.0977860867322585E-4</v>
      </c>
      <c r="G440">
        <f t="shared" si="323"/>
        <v>6.0812474323436319E-3</v>
      </c>
      <c r="H440">
        <f t="shared" si="324"/>
        <v>-3.1355114025676567</v>
      </c>
      <c r="J440">
        <f t="shared" si="325"/>
        <v>15</v>
      </c>
      <c r="M440">
        <f t="shared" si="326"/>
        <v>7.0599038868745492E-4</v>
      </c>
      <c r="N440">
        <f t="shared" si="327"/>
        <v>-1.5707963250000001</v>
      </c>
      <c r="O440">
        <f t="shared" si="328"/>
        <v>127.80390130552087</v>
      </c>
      <c r="P440">
        <f t="shared" si="329"/>
        <v>1.562971759674231</v>
      </c>
      <c r="Q440">
        <f t="shared" si="330"/>
        <v>134.47486664622315</v>
      </c>
      <c r="R440">
        <f t="shared" si="331"/>
        <v>1.5633599244270822</v>
      </c>
      <c r="S440">
        <f t="shared" si="332"/>
        <v>0.96267352432055897</v>
      </c>
      <c r="T440">
        <f t="shared" si="333"/>
        <v>-0.27408402402545778</v>
      </c>
      <c r="U440">
        <f t="shared" si="334"/>
        <v>0.14705355031548792</v>
      </c>
      <c r="V440">
        <f t="shared" si="335"/>
        <v>-1.4232075523095604</v>
      </c>
      <c r="X440">
        <f t="shared" si="352"/>
        <v>-49.196282228781918</v>
      </c>
      <c r="Y440">
        <f t="shared" si="336"/>
        <v>-152.39885360725424</v>
      </c>
      <c r="Z440">
        <f t="shared" si="353"/>
        <v>27.601146392745761</v>
      </c>
      <c r="AC440">
        <v>1</v>
      </c>
      <c r="AD440">
        <f t="shared" si="337"/>
        <v>127.799989002</v>
      </c>
      <c r="AE440">
        <f t="shared" si="338"/>
        <v>-0.90737984382840697</v>
      </c>
      <c r="AF440">
        <f t="shared" si="339"/>
        <v>0.13489998839100001</v>
      </c>
      <c r="AG440">
        <f t="shared" si="367"/>
        <v>19.408359883563072</v>
      </c>
      <c r="AH440">
        <f t="shared" si="368"/>
        <v>-137.95964537944033</v>
      </c>
      <c r="AJ440">
        <f t="shared" si="340"/>
        <v>10500</v>
      </c>
      <c r="AK440">
        <f t="shared" si="341"/>
        <v>2952.1797459462005</v>
      </c>
      <c r="AL440">
        <v>1</v>
      </c>
      <c r="AM440">
        <f t="shared" si="342"/>
        <v>134.47114842790441</v>
      </c>
      <c r="AN440">
        <f t="shared" si="369"/>
        <v>22.533427243404592</v>
      </c>
      <c r="AO440">
        <f t="shared" si="370"/>
        <v>-77.91609349104354</v>
      </c>
      <c r="AQ440">
        <f t="shared" si="343"/>
        <v>1.95786632511036E-3</v>
      </c>
      <c r="AR440">
        <f t="shared" si="344"/>
        <v>-4.4247778947494139</v>
      </c>
      <c r="AT440">
        <f t="shared" si="365"/>
        <v>-610.40279026817404</v>
      </c>
      <c r="AU440">
        <f t="shared" si="366"/>
        <v>-86.147788330043767</v>
      </c>
      <c r="AV440">
        <f t="shared" si="354"/>
        <v>-3.0013859683778934</v>
      </c>
      <c r="AW440">
        <f t="shared" si="355"/>
        <v>-307.93147344005411</v>
      </c>
      <c r="AX440">
        <f t="shared" si="356"/>
        <v>-318.0441625331145</v>
      </c>
      <c r="AY440">
        <f t="shared" si="364"/>
        <v>-2.3400408112143944</v>
      </c>
      <c r="BA440">
        <f t="shared" si="345"/>
        <v>1.3925158077889934</v>
      </c>
      <c r="BB440">
        <f t="shared" si="357"/>
        <v>2.8760026793794431</v>
      </c>
      <c r="BC440">
        <f t="shared" si="358"/>
        <v>-0.66134515716349895</v>
      </c>
      <c r="BD440">
        <f t="shared" si="346"/>
        <v>-217.89228635018287</v>
      </c>
      <c r="BF440">
        <f t="shared" si="347"/>
        <v>-51.019050832215243</v>
      </c>
      <c r="BG440">
        <f t="shared" si="348"/>
        <v>-182.16910698092539</v>
      </c>
      <c r="BH440">
        <f t="shared" si="359"/>
        <v>-2.1691069809253918</v>
      </c>
      <c r="BI440">
        <f t="shared" si="360"/>
        <v>-2.1691069809253918</v>
      </c>
      <c r="BJ440">
        <f t="shared" si="349"/>
        <v>0</v>
      </c>
      <c r="BK440">
        <f t="shared" si="361"/>
        <v>0</v>
      </c>
      <c r="BM440">
        <f t="shared" si="362"/>
        <v>-53.895053511594682</v>
      </c>
      <c r="BN440">
        <f t="shared" si="350"/>
        <v>-144.27682063074252</v>
      </c>
      <c r="BQ440" s="56">
        <f t="shared" si="363"/>
        <v>19.777963479664578</v>
      </c>
    </row>
    <row r="441" spans="1:69" x14ac:dyDescent="0.2">
      <c r="A441">
        <f t="shared" si="372"/>
        <v>1135000</v>
      </c>
      <c r="B441">
        <f t="shared" si="351"/>
        <v>1135</v>
      </c>
      <c r="C441">
        <f t="shared" si="320"/>
        <v>1.2282389197633656</v>
      </c>
      <c r="D441">
        <f t="shared" si="321"/>
        <v>0.61949144138464485</v>
      </c>
      <c r="F441">
        <f t="shared" si="322"/>
        <v>1.0881343726158948E-4</v>
      </c>
      <c r="G441">
        <f t="shared" si="323"/>
        <v>6.0544524923261478E-3</v>
      </c>
      <c r="H441">
        <f t="shared" si="324"/>
        <v>-3.1355381975076742</v>
      </c>
      <c r="J441">
        <f t="shared" si="325"/>
        <v>15</v>
      </c>
      <c r="M441">
        <f t="shared" si="326"/>
        <v>7.0288029886944841E-4</v>
      </c>
      <c r="N441">
        <f t="shared" si="327"/>
        <v>-1.5707963250000001</v>
      </c>
      <c r="O441">
        <f t="shared" si="328"/>
        <v>128.36937074822768</v>
      </c>
      <c r="P441">
        <f t="shared" si="329"/>
        <v>1.5630062277353098</v>
      </c>
      <c r="Q441">
        <f t="shared" si="330"/>
        <v>135.06985534839609</v>
      </c>
      <c r="R441">
        <f t="shared" si="331"/>
        <v>1.563392682709126</v>
      </c>
      <c r="S441">
        <f t="shared" si="332"/>
        <v>0.96236092802135331</v>
      </c>
      <c r="T441">
        <f t="shared" si="333"/>
        <v>-0.27523658036656634</v>
      </c>
      <c r="U441">
        <f t="shared" si="334"/>
        <v>0.14641965566177748</v>
      </c>
      <c r="V441">
        <f t="shared" si="335"/>
        <v>-1.4238483835883746</v>
      </c>
      <c r="X441">
        <f t="shared" si="352"/>
        <v>-49.262095511625425</v>
      </c>
      <c r="Y441">
        <f t="shared" si="336"/>
        <v>-152.37979508070092</v>
      </c>
      <c r="Z441">
        <f t="shared" si="353"/>
        <v>27.620204919299084</v>
      </c>
      <c r="AC441">
        <v>1</v>
      </c>
      <c r="AD441">
        <f t="shared" si="337"/>
        <v>128.36547567900001</v>
      </c>
      <c r="AE441">
        <f t="shared" si="338"/>
        <v>-0.9154275192386635</v>
      </c>
      <c r="AF441">
        <f t="shared" si="339"/>
        <v>0.13549689099449999</v>
      </c>
      <c r="AG441">
        <f t="shared" si="367"/>
        <v>19.241395686351151</v>
      </c>
      <c r="AH441">
        <f t="shared" si="368"/>
        <v>-137.37660682267261</v>
      </c>
      <c r="AJ441">
        <f t="shared" si="340"/>
        <v>10500</v>
      </c>
      <c r="AK441">
        <f t="shared" si="341"/>
        <v>2965.2424881849006</v>
      </c>
      <c r="AL441">
        <v>1</v>
      </c>
      <c r="AM441">
        <f t="shared" si="342"/>
        <v>135.06615350944384</v>
      </c>
      <c r="AN441">
        <f t="shared" si="369"/>
        <v>22.528333691476014</v>
      </c>
      <c r="AO441">
        <f t="shared" si="370"/>
        <v>-77.572888499974468</v>
      </c>
      <c r="AQ441">
        <f t="shared" si="343"/>
        <v>1.9406544003077101E-3</v>
      </c>
      <c r="AR441">
        <f t="shared" si="344"/>
        <v>-4.4052854886985022</v>
      </c>
      <c r="AT441">
        <f t="shared" si="365"/>
        <v>-605.14583162335248</v>
      </c>
      <c r="AU441">
        <f t="shared" si="366"/>
        <v>-85.030441715918442</v>
      </c>
      <c r="AV441">
        <f t="shared" si="354"/>
        <v>-3.0019942808369935</v>
      </c>
      <c r="AW441">
        <f t="shared" si="355"/>
        <v>-305.02888274805139</v>
      </c>
      <c r="AX441">
        <f t="shared" si="356"/>
        <v>-316.63751732670852</v>
      </c>
      <c r="AY441">
        <f t="shared" si="364"/>
        <v>-2.3375232453526014</v>
      </c>
      <c r="BA441">
        <f t="shared" si="345"/>
        <v>1.3899125016528828</v>
      </c>
      <c r="BB441">
        <f t="shared" si="357"/>
        <v>2.8597492245725356</v>
      </c>
      <c r="BC441">
        <f t="shared" si="358"/>
        <v>-0.66447103548439213</v>
      </c>
      <c r="BD441">
        <f t="shared" si="346"/>
        <v>-218.07138598544614</v>
      </c>
      <c r="BF441">
        <f t="shared" si="347"/>
        <v>-51.09911791008301</v>
      </c>
      <c r="BG441">
        <f t="shared" si="348"/>
        <v>-182.23024633360274</v>
      </c>
      <c r="BH441">
        <f t="shared" si="359"/>
        <v>-2.2302463336027358</v>
      </c>
      <c r="BI441">
        <f t="shared" si="360"/>
        <v>-2.2302463336027358</v>
      </c>
      <c r="BJ441">
        <f t="shared" si="349"/>
        <v>0</v>
      </c>
      <c r="BK441">
        <f t="shared" si="361"/>
        <v>0</v>
      </c>
      <c r="BM441">
        <f t="shared" si="362"/>
        <v>-53.958867134655549</v>
      </c>
      <c r="BN441">
        <f t="shared" si="350"/>
        <v>-144.15886034815662</v>
      </c>
      <c r="BQ441" s="56">
        <f t="shared" si="363"/>
        <v>19.76171002485767</v>
      </c>
    </row>
    <row r="442" spans="1:69" x14ac:dyDescent="0.2">
      <c r="A442">
        <f t="shared" si="372"/>
        <v>1140000</v>
      </c>
      <c r="B442">
        <f t="shared" si="351"/>
        <v>1140</v>
      </c>
      <c r="C442">
        <f t="shared" si="320"/>
        <v>1.2300656543509021</v>
      </c>
      <c r="D442">
        <f t="shared" si="321"/>
        <v>0.62157084616404679</v>
      </c>
      <c r="F442">
        <f t="shared" si="322"/>
        <v>1.0786093915848653E-4</v>
      </c>
      <c r="G442">
        <f t="shared" si="323"/>
        <v>6.0278926649777144E-3</v>
      </c>
      <c r="H442">
        <f t="shared" si="324"/>
        <v>-3.1355647573350227</v>
      </c>
      <c r="J442">
        <f t="shared" si="325"/>
        <v>15</v>
      </c>
      <c r="M442">
        <f t="shared" si="326"/>
        <v>6.9979749054107374E-4</v>
      </c>
      <c r="N442">
        <f t="shared" si="327"/>
        <v>-1.5707963250000001</v>
      </c>
      <c r="O442">
        <f t="shared" si="328"/>
        <v>128.9348403421057</v>
      </c>
      <c r="P442">
        <f t="shared" si="329"/>
        <v>1.5630403934632437</v>
      </c>
      <c r="Q442">
        <f t="shared" si="330"/>
        <v>135.66484419424177</v>
      </c>
      <c r="R442">
        <f t="shared" si="331"/>
        <v>1.5634251536535002</v>
      </c>
      <c r="S442">
        <f t="shared" si="332"/>
        <v>0.9620472579418361</v>
      </c>
      <c r="T442">
        <f t="shared" si="333"/>
        <v>-0.2763883869128721</v>
      </c>
      <c r="U442">
        <f t="shared" si="334"/>
        <v>0.14579114343011582</v>
      </c>
      <c r="V442">
        <f t="shared" si="335"/>
        <v>-1.4244837135384123</v>
      </c>
      <c r="X442">
        <f t="shared" si="352"/>
        <v>-49.327574298907926</v>
      </c>
      <c r="Y442">
        <f t="shared" si="336"/>
        <v>-152.36075310750201</v>
      </c>
      <c r="Z442">
        <f t="shared" si="353"/>
        <v>27.639246892497994</v>
      </c>
      <c r="AC442">
        <v>1</v>
      </c>
      <c r="AD442">
        <f t="shared" si="337"/>
        <v>128.93096235600001</v>
      </c>
      <c r="AE442">
        <f t="shared" si="338"/>
        <v>-0.92351072522468303</v>
      </c>
      <c r="AF442">
        <f t="shared" si="339"/>
        <v>0.136093793598</v>
      </c>
      <c r="AG442">
        <f t="shared" si="367"/>
        <v>19.076561304326948</v>
      </c>
      <c r="AH442">
        <f t="shared" si="368"/>
        <v>-136.79836877752888</v>
      </c>
      <c r="AJ442">
        <f t="shared" si="340"/>
        <v>10500</v>
      </c>
      <c r="AK442">
        <f t="shared" si="341"/>
        <v>2978.3052304236003</v>
      </c>
      <c r="AL442">
        <v>1</v>
      </c>
      <c r="AM442">
        <f t="shared" si="342"/>
        <v>135.66115859098321</v>
      </c>
      <c r="AN442">
        <f t="shared" si="369"/>
        <v>22.523307008029505</v>
      </c>
      <c r="AO442">
        <f t="shared" si="370"/>
        <v>-77.232693586094427</v>
      </c>
      <c r="AQ442">
        <f t="shared" si="343"/>
        <v>1.9236684511256441E-3</v>
      </c>
      <c r="AR442">
        <f t="shared" si="344"/>
        <v>-4.3859640685664685</v>
      </c>
      <c r="AT442">
        <f t="shared" si="365"/>
        <v>-599.95603311760965</v>
      </c>
      <c r="AU442">
        <f t="shared" si="366"/>
        <v>-83.932267138766264</v>
      </c>
      <c r="AV442">
        <f t="shared" si="354"/>
        <v>-3.0025973772018575</v>
      </c>
      <c r="AW442">
        <f t="shared" si="355"/>
        <v>-302.1644429257301</v>
      </c>
      <c r="AX442">
        <f t="shared" si="356"/>
        <v>-315.24329063821273</v>
      </c>
      <c r="AY442">
        <f t="shared" si="364"/>
        <v>-2.335014172561265</v>
      </c>
      <c r="BA442">
        <f t="shared" si="345"/>
        <v>1.3873106873475771</v>
      </c>
      <c r="BB442">
        <f t="shared" si="357"/>
        <v>2.8434746387807701</v>
      </c>
      <c r="BC442">
        <f t="shared" si="358"/>
        <v>-0.66758320464059251</v>
      </c>
      <c r="BD442">
        <f t="shared" si="346"/>
        <v>-218.24970014343097</v>
      </c>
      <c r="BF442">
        <f t="shared" si="347"/>
        <v>-51.178850383950504</v>
      </c>
      <c r="BG442">
        <f t="shared" si="348"/>
        <v>-182.29094113970578</v>
      </c>
      <c r="BH442">
        <f t="shared" si="359"/>
        <v>-2.2909411397057795</v>
      </c>
      <c r="BI442">
        <f t="shared" si="360"/>
        <v>-2.2909411397057795</v>
      </c>
      <c r="BJ442">
        <f t="shared" si="349"/>
        <v>0</v>
      </c>
      <c r="BK442">
        <f t="shared" si="361"/>
        <v>0</v>
      </c>
      <c r="BM442">
        <f t="shared" si="362"/>
        <v>-54.02232502273128</v>
      </c>
      <c r="BN442">
        <f t="shared" si="350"/>
        <v>-144.04124099627484</v>
      </c>
      <c r="BQ442" s="56">
        <f t="shared" si="363"/>
        <v>19.745435439065908</v>
      </c>
    </row>
    <row r="443" spans="1:69" x14ac:dyDescent="0.2">
      <c r="A443">
        <f t="shared" si="372"/>
        <v>1145000</v>
      </c>
      <c r="B443">
        <f t="shared" si="351"/>
        <v>1145</v>
      </c>
      <c r="C443">
        <f t="shared" si="320"/>
        <v>1.2318976918619104</v>
      </c>
      <c r="D443">
        <f t="shared" si="321"/>
        <v>0.62364407504170349</v>
      </c>
      <c r="F443">
        <f t="shared" si="322"/>
        <v>1.0692089344646353E-4</v>
      </c>
      <c r="G443">
        <f t="shared" si="323"/>
        <v>6.0015648690163511E-3</v>
      </c>
      <c r="H443">
        <f t="shared" si="324"/>
        <v>-3.1355910851309838</v>
      </c>
      <c r="J443">
        <f t="shared" si="325"/>
        <v>15</v>
      </c>
      <c r="M443">
        <f t="shared" si="326"/>
        <v>6.9674160630290314E-4</v>
      </c>
      <c r="N443">
        <f t="shared" si="327"/>
        <v>-1.5707963250000001</v>
      </c>
      <c r="O443">
        <f t="shared" si="328"/>
        <v>129.50031008517456</v>
      </c>
      <c r="P443">
        <f t="shared" si="329"/>
        <v>1.5630742608184118</v>
      </c>
      <c r="Q443">
        <f t="shared" si="330"/>
        <v>136.25983318187818</v>
      </c>
      <c r="R443">
        <f t="shared" si="331"/>
        <v>1.5634573410241819</v>
      </c>
      <c r="S443">
        <f t="shared" si="332"/>
        <v>0.9617325176271917</v>
      </c>
      <c r="T443">
        <f t="shared" si="333"/>
        <v>-0.27753944134268554</v>
      </c>
      <c r="U443">
        <f t="shared" si="334"/>
        <v>0.14516794611649564</v>
      </c>
      <c r="V443">
        <f t="shared" si="335"/>
        <v>-1.4251136121912316</v>
      </c>
      <c r="X443">
        <f t="shared" si="352"/>
        <v>-49.392721617055024</v>
      </c>
      <c r="Y443">
        <f t="shared" si="336"/>
        <v>-152.34173075255592</v>
      </c>
      <c r="Z443">
        <f t="shared" si="353"/>
        <v>27.658269247444082</v>
      </c>
      <c r="AC443">
        <v>1</v>
      </c>
      <c r="AD443">
        <f t="shared" si="337"/>
        <v>129.496449033</v>
      </c>
      <c r="AE443">
        <f t="shared" si="338"/>
        <v>-0.931629461786465</v>
      </c>
      <c r="AF443">
        <f t="shared" si="339"/>
        <v>0.13669069620149998</v>
      </c>
      <c r="AG443">
        <f t="shared" si="367"/>
        <v>18.913820930240703</v>
      </c>
      <c r="AH443">
        <f t="shared" si="368"/>
        <v>-136.22487360892811</v>
      </c>
      <c r="AJ443">
        <f t="shared" si="340"/>
        <v>10500</v>
      </c>
      <c r="AK443">
        <f t="shared" si="341"/>
        <v>2991.3679726623004</v>
      </c>
      <c r="AL443">
        <v>1</v>
      </c>
      <c r="AM443">
        <f t="shared" si="342"/>
        <v>136.2561636725226</v>
      </c>
      <c r="AN443">
        <f t="shared" si="369"/>
        <v>22.518346027715712</v>
      </c>
      <c r="AO443">
        <f t="shared" si="370"/>
        <v>-76.895469324630426</v>
      </c>
      <c r="AQ443">
        <f t="shared" si="343"/>
        <v>1.9069045390239434E-3</v>
      </c>
      <c r="AR443">
        <f t="shared" si="344"/>
        <v>-4.3668113943648299</v>
      </c>
      <c r="AT443">
        <f t="shared" si="365"/>
        <v>-594.83226342039393</v>
      </c>
      <c r="AU443">
        <f t="shared" si="366"/>
        <v>-82.852856578963937</v>
      </c>
      <c r="AV443">
        <f t="shared" si="354"/>
        <v>-3.0031953237676623</v>
      </c>
      <c r="AW443">
        <f t="shared" si="355"/>
        <v>-299.33748814033623</v>
      </c>
      <c r="AX443">
        <f t="shared" si="356"/>
        <v>-313.86131825845331</v>
      </c>
      <c r="AY443">
        <f t="shared" si="364"/>
        <v>-2.3325135649462148</v>
      </c>
      <c r="BA443">
        <f t="shared" si="345"/>
        <v>1.3847104632535199</v>
      </c>
      <c r="BB443">
        <f t="shared" si="357"/>
        <v>2.8271794772994028</v>
      </c>
      <c r="BC443">
        <f t="shared" si="358"/>
        <v>-0.67068175882144754</v>
      </c>
      <c r="BD443">
        <f t="shared" si="346"/>
        <v>-218.42723422078944</v>
      </c>
      <c r="BF443">
        <f t="shared" si="347"/>
        <v>-51.258250928850877</v>
      </c>
      <c r="BG443">
        <f t="shared" si="348"/>
        <v>-182.35119642386829</v>
      </c>
      <c r="BH443">
        <f t="shared" si="359"/>
        <v>-2.3511964238682879</v>
      </c>
      <c r="BI443">
        <f t="shared" si="360"/>
        <v>-2.3511964238682879</v>
      </c>
      <c r="BJ443">
        <f t="shared" si="349"/>
        <v>0</v>
      </c>
      <c r="BK443">
        <f t="shared" si="361"/>
        <v>0</v>
      </c>
      <c r="BM443">
        <f t="shared" si="362"/>
        <v>-54.085430406150287</v>
      </c>
      <c r="BN443">
        <f t="shared" si="350"/>
        <v>-143.92396220307887</v>
      </c>
      <c r="BQ443" s="56">
        <f t="shared" si="363"/>
        <v>19.729140277584541</v>
      </c>
    </row>
    <row r="444" spans="1:69" x14ac:dyDescent="0.2">
      <c r="A444">
        <f t="shared" si="372"/>
        <v>1150000</v>
      </c>
      <c r="B444">
        <f t="shared" si="351"/>
        <v>1150</v>
      </c>
      <c r="C444">
        <f t="shared" si="320"/>
        <v>1.2337350086726282</v>
      </c>
      <c r="D444">
        <f t="shared" si="321"/>
        <v>0.62571113774741904</v>
      </c>
      <c r="F444">
        <f t="shared" si="322"/>
        <v>1.0599308400102779E-4</v>
      </c>
      <c r="G444">
        <f t="shared" si="323"/>
        <v>5.9754660767735845E-3</v>
      </c>
      <c r="H444">
        <f t="shared" si="324"/>
        <v>-3.1356171839232267</v>
      </c>
      <c r="J444">
        <f t="shared" si="325"/>
        <v>15</v>
      </c>
      <c r="M444">
        <f t="shared" si="326"/>
        <v>6.9371229497115132E-4</v>
      </c>
      <c r="N444">
        <f t="shared" si="327"/>
        <v>-1.5707963250000001</v>
      </c>
      <c r="O444">
        <f t="shared" si="328"/>
        <v>130.06577997548845</v>
      </c>
      <c r="P444">
        <f t="shared" si="329"/>
        <v>1.5631078336923236</v>
      </c>
      <c r="Q444">
        <f t="shared" si="330"/>
        <v>136.85482230945593</v>
      </c>
      <c r="R444">
        <f t="shared" si="331"/>
        <v>1.5634892485196932</v>
      </c>
      <c r="S444">
        <f t="shared" si="332"/>
        <v>0.96141671062829026</v>
      </c>
      <c r="T444">
        <f t="shared" si="333"/>
        <v>-0.27868974134532021</v>
      </c>
      <c r="U444">
        <f t="shared" si="334"/>
        <v>0.14454999732797916</v>
      </c>
      <c r="V444">
        <f t="shared" si="335"/>
        <v>-1.4257381484033609</v>
      </c>
      <c r="X444">
        <f t="shared" si="352"/>
        <v>-49.457540455941846</v>
      </c>
      <c r="Y444">
        <f t="shared" si="336"/>
        <v>-152.32273100977778</v>
      </c>
      <c r="Z444">
        <f t="shared" si="353"/>
        <v>27.677268990222217</v>
      </c>
      <c r="AC444">
        <v>1</v>
      </c>
      <c r="AD444">
        <f t="shared" si="337"/>
        <v>130.06193571</v>
      </c>
      <c r="AE444">
        <f t="shared" si="338"/>
        <v>-0.93978372892400996</v>
      </c>
      <c r="AF444">
        <f t="shared" si="339"/>
        <v>0.13728759880499999</v>
      </c>
      <c r="AG444">
        <f t="shared" si="367"/>
        <v>18.753139500598554</v>
      </c>
      <c r="AH444">
        <f t="shared" si="368"/>
        <v>-135.65606457548719</v>
      </c>
      <c r="AJ444">
        <f t="shared" si="340"/>
        <v>10500</v>
      </c>
      <c r="AK444">
        <f t="shared" si="341"/>
        <v>3004.4307149010001</v>
      </c>
      <c r="AL444">
        <v>1</v>
      </c>
      <c r="AM444">
        <f t="shared" si="342"/>
        <v>136.85116875406203</v>
      </c>
      <c r="AN444">
        <f t="shared" si="369"/>
        <v>22.51344961046102</v>
      </c>
      <c r="AO444">
        <f t="shared" si="370"/>
        <v>-76.561176976272961</v>
      </c>
      <c r="AQ444">
        <f t="shared" si="343"/>
        <v>1.8903588108962551E-3</v>
      </c>
      <c r="AR444">
        <f t="shared" si="344"/>
        <v>-4.3478252650613864</v>
      </c>
      <c r="AT444">
        <f t="shared" si="365"/>
        <v>-589.77341475761523</v>
      </c>
      <c r="AU444">
        <f t="shared" si="366"/>
        <v>-81.791812356844844</v>
      </c>
      <c r="AV444">
        <f t="shared" si="354"/>
        <v>-3.0037881857195314</v>
      </c>
      <c r="AW444">
        <f t="shared" si="355"/>
        <v>-296.54736702472326</v>
      </c>
      <c r="AX444">
        <f t="shared" si="356"/>
        <v>-312.49143887044852</v>
      </c>
      <c r="AY444">
        <f t="shared" si="364"/>
        <v>-2.3300213944919528</v>
      </c>
      <c r="BA444">
        <f t="shared" si="345"/>
        <v>1.3821119257926715</v>
      </c>
      <c r="BB444">
        <f t="shared" si="357"/>
        <v>2.8108642874767127</v>
      </c>
      <c r="BC444">
        <f t="shared" si="358"/>
        <v>-0.67376679122757865</v>
      </c>
      <c r="BD444">
        <f t="shared" si="346"/>
        <v>-218.60399355752381</v>
      </c>
      <c r="BF444">
        <f t="shared" si="347"/>
        <v>-51.337322187397696</v>
      </c>
      <c r="BG444">
        <f t="shared" si="348"/>
        <v>-182.41101714208858</v>
      </c>
      <c r="BH444">
        <f t="shared" si="359"/>
        <v>-2.411017142088582</v>
      </c>
      <c r="BI444">
        <f t="shared" si="360"/>
        <v>-2.411017142088582</v>
      </c>
      <c r="BJ444">
        <f t="shared" si="349"/>
        <v>0</v>
      </c>
      <c r="BK444">
        <f t="shared" si="361"/>
        <v>0</v>
      </c>
      <c r="BM444">
        <f t="shared" si="362"/>
        <v>-54.148186474874407</v>
      </c>
      <c r="BN444">
        <f t="shared" si="350"/>
        <v>-143.80702358456477</v>
      </c>
      <c r="BQ444" s="56">
        <f t="shared" si="363"/>
        <v>19.71282508776185</v>
      </c>
    </row>
    <row r="445" spans="1:69" x14ac:dyDescent="0.2">
      <c r="A445">
        <f t="shared" si="372"/>
        <v>1155000</v>
      </c>
      <c r="B445">
        <f t="shared" si="351"/>
        <v>1155</v>
      </c>
      <c r="C445">
        <f t="shared" si="320"/>
        <v>1.2355775812319332</v>
      </c>
      <c r="D445">
        <f t="shared" si="321"/>
        <v>0.62777204416397991</v>
      </c>
      <c r="F445">
        <f t="shared" si="322"/>
        <v>1.0507729936639894E-4</v>
      </c>
      <c r="G445">
        <f t="shared" si="323"/>
        <v>5.9495933130333132E-3</v>
      </c>
      <c r="H445">
        <f t="shared" si="324"/>
        <v>-3.1356430566869671</v>
      </c>
      <c r="J445">
        <f t="shared" si="325"/>
        <v>15</v>
      </c>
      <c r="M445">
        <f t="shared" si="326"/>
        <v>6.907092114431377E-4</v>
      </c>
      <c r="N445">
        <f t="shared" si="327"/>
        <v>-1.5707963250000001</v>
      </c>
      <c r="O445">
        <f t="shared" si="328"/>
        <v>130.63125001113519</v>
      </c>
      <c r="P445">
        <f t="shared" si="329"/>
        <v>1.5631411159091106</v>
      </c>
      <c r="Q445">
        <f t="shared" si="330"/>
        <v>137.4498115751577</v>
      </c>
      <c r="R445">
        <f t="shared" si="331"/>
        <v>1.5635208797745184</v>
      </c>
      <c r="S445">
        <f t="shared" si="332"/>
        <v>0.96109984050159047</v>
      </c>
      <c r="T445">
        <f t="shared" si="333"/>
        <v>-0.27983928462110347</v>
      </c>
      <c r="U445">
        <f t="shared" si="334"/>
        <v>0.14393723176021245</v>
      </c>
      <c r="V445">
        <f t="shared" si="335"/>
        <v>-1.4263573898806572</v>
      </c>
      <c r="X445">
        <f t="shared" si="352"/>
        <v>-49.522033769465594</v>
      </c>
      <c r="Y445">
        <f t="shared" si="336"/>
        <v>-152.30375680354402</v>
      </c>
      <c r="Z445">
        <f t="shared" si="353"/>
        <v>27.696243196455981</v>
      </c>
      <c r="AC445">
        <v>1</v>
      </c>
      <c r="AD445">
        <f t="shared" si="337"/>
        <v>130.627422387</v>
      </c>
      <c r="AE445">
        <f t="shared" si="338"/>
        <v>-0.94797352663731738</v>
      </c>
      <c r="AF445">
        <f t="shared" si="339"/>
        <v>0.1378845014085</v>
      </c>
      <c r="AG445">
        <f t="shared" si="367"/>
        <v>18.59448267734339</v>
      </c>
      <c r="AH445">
        <f t="shared" si="368"/>
        <v>-135.09188581284187</v>
      </c>
      <c r="AJ445">
        <f t="shared" si="340"/>
        <v>10500</v>
      </c>
      <c r="AK445">
        <f t="shared" si="341"/>
        <v>3017.4934571397002</v>
      </c>
      <c r="AL445">
        <v>1</v>
      </c>
      <c r="AM445">
        <f t="shared" si="342"/>
        <v>137.4461738356014</v>
      </c>
      <c r="AN445">
        <f t="shared" si="369"/>
        <v>22.50861664081264</v>
      </c>
      <c r="AO445">
        <f t="shared" si="370"/>
        <v>-76.229778472344066</v>
      </c>
      <c r="AQ445">
        <f t="shared" si="343"/>
        <v>1.8740274968558504E-3</v>
      </c>
      <c r="AR445">
        <f t="shared" si="344"/>
        <v>-4.3290035177370143</v>
      </c>
      <c r="AT445">
        <f t="shared" si="365"/>
        <v>-584.77840232969231</v>
      </c>
      <c r="AU445">
        <f t="shared" si="366"/>
        <v>-80.748746829334877</v>
      </c>
      <c r="AV445">
        <f t="shared" si="354"/>
        <v>-3.0043760271554811</v>
      </c>
      <c r="AW445">
        <f t="shared" si="355"/>
        <v>-293.79344230178646</v>
      </c>
      <c r="AX445">
        <f t="shared" si="356"/>
        <v>-311.13349398576781</v>
      </c>
      <c r="AY445">
        <f t="shared" si="364"/>
        <v>-2.3275376330668016</v>
      </c>
      <c r="BA445">
        <f t="shared" si="345"/>
        <v>1.3795151694617946</v>
      </c>
      <c r="BB445">
        <f t="shared" si="357"/>
        <v>2.7945296088423834</v>
      </c>
      <c r="BC445">
        <f t="shared" si="358"/>
        <v>-0.67683839408867952</v>
      </c>
      <c r="BD445">
        <f t="shared" si="346"/>
        <v>-218.7799834380063</v>
      </c>
      <c r="BF445">
        <f t="shared" si="347"/>
        <v>-51.416066770326189</v>
      </c>
      <c r="BG445">
        <f t="shared" si="348"/>
        <v>-182.47040818296412</v>
      </c>
      <c r="BH445">
        <f t="shared" si="359"/>
        <v>-2.4704081829641211</v>
      </c>
      <c r="BI445">
        <f t="shared" si="360"/>
        <v>-2.4704081829641211</v>
      </c>
      <c r="BJ445">
        <f t="shared" si="349"/>
        <v>0</v>
      </c>
      <c r="BK445">
        <f t="shared" si="361"/>
        <v>0</v>
      </c>
      <c r="BM445">
        <f t="shared" si="362"/>
        <v>-54.210596379168564</v>
      </c>
      <c r="BN445">
        <f t="shared" si="350"/>
        <v>-143.69042474495785</v>
      </c>
      <c r="BQ445" s="56">
        <f t="shared" si="363"/>
        <v>19.69649040912752</v>
      </c>
    </row>
    <row r="446" spans="1:69" x14ac:dyDescent="0.2">
      <c r="A446">
        <f t="shared" si="372"/>
        <v>1160000</v>
      </c>
      <c r="B446">
        <f t="shared" si="351"/>
        <v>1160</v>
      </c>
      <c r="C446">
        <f t="shared" si="320"/>
        <v>1.2374253860618083</v>
      </c>
      <c r="D446">
        <f t="shared" si="321"/>
        <v>0.62982680432457561</v>
      </c>
      <c r="F446">
        <f t="shared" si="322"/>
        <v>1.0417333263500223E-4</v>
      </c>
      <c r="G446">
        <f t="shared" si="323"/>
        <v>5.9239436539007106E-3</v>
      </c>
      <c r="H446">
        <f t="shared" si="324"/>
        <v>-3.1356687063460993</v>
      </c>
      <c r="J446">
        <f t="shared" si="325"/>
        <v>15</v>
      </c>
      <c r="M446">
        <f t="shared" si="326"/>
        <v>6.877320165662277E-4</v>
      </c>
      <c r="N446">
        <f t="shared" si="327"/>
        <v>-1.5707963250000001</v>
      </c>
      <c r="O446">
        <f t="shared" si="328"/>
        <v>131.1967201902356</v>
      </c>
      <c r="P446">
        <f t="shared" si="329"/>
        <v>1.563174111226977</v>
      </c>
      <c r="Q446">
        <f t="shared" si="330"/>
        <v>138.04480097719753</v>
      </c>
      <c r="R446">
        <f t="shared" si="331"/>
        <v>1.5635522383604836</v>
      </c>
      <c r="S446">
        <f t="shared" si="332"/>
        <v>0.96078191080904096</v>
      </c>
      <c r="T446">
        <f t="shared" si="333"/>
        <v>-0.28098806888138728</v>
      </c>
      <c r="U446">
        <f t="shared" si="334"/>
        <v>0.14332958517547703</v>
      </c>
      <c r="V446">
        <f t="shared" si="335"/>
        <v>-1.4269714032020655</v>
      </c>
      <c r="X446">
        <f t="shared" si="352"/>
        <v>-49.586204476106502</v>
      </c>
      <c r="Y446">
        <f t="shared" si="336"/>
        <v>-152.28481099010489</v>
      </c>
      <c r="Z446">
        <f t="shared" si="353"/>
        <v>27.715189009895113</v>
      </c>
      <c r="AC446">
        <v>1</v>
      </c>
      <c r="AD446">
        <f t="shared" si="337"/>
        <v>131.19290906399999</v>
      </c>
      <c r="AE446">
        <f t="shared" si="338"/>
        <v>-0.95619885492638768</v>
      </c>
      <c r="AF446">
        <f t="shared" si="339"/>
        <v>0.13848140401199999</v>
      </c>
      <c r="AG446">
        <f t="shared" si="367"/>
        <v>18.437816830055613</v>
      </c>
      <c r="AH446">
        <f t="shared" si="368"/>
        <v>-134.53228231732305</v>
      </c>
      <c r="AJ446">
        <f t="shared" si="340"/>
        <v>10500</v>
      </c>
      <c r="AK446">
        <f t="shared" si="341"/>
        <v>3030.5561993784004</v>
      </c>
      <c r="AL446">
        <v>1</v>
      </c>
      <c r="AM446">
        <f t="shared" si="342"/>
        <v>138.04117891714083</v>
      </c>
      <c r="AN446">
        <f t="shared" si="369"/>
        <v>22.503846027303194</v>
      </c>
      <c r="AO446">
        <f t="shared" si="370"/>
        <v>-75.901236400348409</v>
      </c>
      <c r="AQ446">
        <f t="shared" si="343"/>
        <v>1.8579069080880447E-3</v>
      </c>
      <c r="AR446">
        <f t="shared" si="344"/>
        <v>-4.3103440267642634</v>
      </c>
      <c r="AT446">
        <f t="shared" si="365"/>
        <v>-579.84616374617838</v>
      </c>
      <c r="AU446">
        <f t="shared" si="366"/>
        <v>-79.723282096682027</v>
      </c>
      <c r="AV446">
        <f t="shared" si="354"/>
        <v>-3.0049589111088171</v>
      </c>
      <c r="AW446">
        <f t="shared" si="355"/>
        <v>-291.07509042022377</v>
      </c>
      <c r="AX446">
        <f t="shared" si="356"/>
        <v>-309.78732788256866</v>
      </c>
      <c r="AY446">
        <f t="shared" si="364"/>
        <v>-2.3250622524279634</v>
      </c>
      <c r="BA446">
        <f t="shared" si="345"/>
        <v>1.3769202868650983</v>
      </c>
      <c r="BB446">
        <f t="shared" si="357"/>
        <v>2.7781759732330213</v>
      </c>
      <c r="BC446">
        <f t="shared" si="358"/>
        <v>-0.67989665868085369</v>
      </c>
      <c r="BD446">
        <f t="shared" si="346"/>
        <v>-218.95520909197239</v>
      </c>
      <c r="BF446">
        <f t="shared" si="347"/>
        <v>-51.494487257023195</v>
      </c>
      <c r="BG446">
        <f t="shared" si="348"/>
        <v>-182.52937436889783</v>
      </c>
      <c r="BH446">
        <f t="shared" si="359"/>
        <v>-2.5293743688978338</v>
      </c>
      <c r="BI446">
        <f t="shared" si="360"/>
        <v>-2.5293743688978338</v>
      </c>
      <c r="BJ446">
        <f t="shared" si="349"/>
        <v>0</v>
      </c>
      <c r="BK446">
        <f t="shared" si="361"/>
        <v>0</v>
      </c>
      <c r="BM446">
        <f t="shared" si="362"/>
        <v>-54.272663230256207</v>
      </c>
      <c r="BN446">
        <f t="shared" si="350"/>
        <v>-143.57416527692544</v>
      </c>
      <c r="BQ446" s="56">
        <f t="shared" si="363"/>
        <v>19.680136773518157</v>
      </c>
    </row>
    <row r="447" spans="1:69" x14ac:dyDescent="0.2">
      <c r="A447">
        <f t="shared" si="372"/>
        <v>1165000</v>
      </c>
      <c r="B447">
        <f t="shared" si="351"/>
        <v>1165</v>
      </c>
      <c r="C447">
        <f t="shared" si="320"/>
        <v>1.2392783997577919</v>
      </c>
      <c r="D447">
        <f t="shared" si="321"/>
        <v>0.63187542841023925</v>
      </c>
      <c r="F447">
        <f t="shared" si="322"/>
        <v>1.032809813305752E-4</v>
      </c>
      <c r="G447">
        <f t="shared" si="323"/>
        <v>5.8985142257002993E-3</v>
      </c>
      <c r="H447">
        <f t="shared" si="324"/>
        <v>-3.1356941357742998</v>
      </c>
      <c r="J447">
        <f t="shared" si="325"/>
        <v>15</v>
      </c>
      <c r="M447">
        <f t="shared" si="326"/>
        <v>6.847803770101494E-4</v>
      </c>
      <c r="N447">
        <f t="shared" si="327"/>
        <v>-1.5707963250000001</v>
      </c>
      <c r="O447">
        <f t="shared" si="328"/>
        <v>131.76219051094273</v>
      </c>
      <c r="P447">
        <f t="shared" si="329"/>
        <v>1.5632068233396148</v>
      </c>
      <c r="Q447">
        <f t="shared" si="330"/>
        <v>138.63979051382006</v>
      </c>
      <c r="R447">
        <f t="shared" si="331"/>
        <v>1.5635833277881019</v>
      </c>
      <c r="S447">
        <f t="shared" si="332"/>
        <v>0.96046292511798315</v>
      </c>
      <c r="T447">
        <f t="shared" si="333"/>
        <v>-0.2821360918485582</v>
      </c>
      <c r="U447">
        <f t="shared" si="334"/>
        <v>0.14272699438126293</v>
      </c>
      <c r="V447">
        <f t="shared" si="335"/>
        <v>-1.4275802538427982</v>
      </c>
      <c r="X447">
        <f t="shared" si="352"/>
        <v>-49.65005545947789</v>
      </c>
      <c r="Y447">
        <f t="shared" si="336"/>
        <v>-152.26589635896491</v>
      </c>
      <c r="Z447">
        <f t="shared" si="353"/>
        <v>27.734103641035091</v>
      </c>
      <c r="AC447">
        <v>1</v>
      </c>
      <c r="AD447">
        <f t="shared" si="337"/>
        <v>131.75839574100002</v>
      </c>
      <c r="AE447">
        <f t="shared" si="338"/>
        <v>-0.96445971379122075</v>
      </c>
      <c r="AF447">
        <f t="shared" si="339"/>
        <v>0.1390783066155</v>
      </c>
      <c r="AG447">
        <f t="shared" si="367"/>
        <v>18.283109018657431</v>
      </c>
      <c r="AH447">
        <f t="shared" si="368"/>
        <v>-133.97719992998091</v>
      </c>
      <c r="AJ447">
        <f t="shared" si="340"/>
        <v>10500</v>
      </c>
      <c r="AK447">
        <f t="shared" si="341"/>
        <v>3043.6189416171005</v>
      </c>
      <c r="AL447">
        <v>1</v>
      </c>
      <c r="AM447">
        <f t="shared" si="342"/>
        <v>138.63618399868022</v>
      </c>
      <c r="AN447">
        <f t="shared" si="369"/>
        <v>22.499136701834576</v>
      </c>
      <c r="AO447">
        <f t="shared" si="370"/>
        <v>-75.57551398989682</v>
      </c>
      <c r="AQ447">
        <f t="shared" si="343"/>
        <v>1.8419934347669998E-3</v>
      </c>
      <c r="AR447">
        <f t="shared" si="344"/>
        <v>-4.2918447030071096</v>
      </c>
      <c r="AT447">
        <f t="shared" si="365"/>
        <v>-574.97565847643364</v>
      </c>
      <c r="AU447">
        <f t="shared" si="366"/>
        <v>-78.715049718905902</v>
      </c>
      <c r="AV447">
        <f t="shared" si="354"/>
        <v>-3.0055368995699721</v>
      </c>
      <c r="AW447">
        <f t="shared" si="355"/>
        <v>-288.39170120123873</v>
      </c>
      <c r="AX447">
        <f t="shared" si="356"/>
        <v>-308.45278754526385</v>
      </c>
      <c r="AY447">
        <f t="shared" si="364"/>
        <v>-2.3225952242264847</v>
      </c>
      <c r="BA447">
        <f t="shared" si="345"/>
        <v>1.3743273687462403</v>
      </c>
      <c r="BB447">
        <f t="shared" si="357"/>
        <v>2.7618039049147964</v>
      </c>
      <c r="BC447">
        <f t="shared" si="358"/>
        <v>-0.68294167534348738</v>
      </c>
      <c r="BD447">
        <f t="shared" si="346"/>
        <v>-219.12967569548766</v>
      </c>
      <c r="BF447">
        <f t="shared" si="347"/>
        <v>-51.572586196046004</v>
      </c>
      <c r="BG447">
        <f t="shared" si="348"/>
        <v>-182.58792045727461</v>
      </c>
      <c r="BH447">
        <f t="shared" si="359"/>
        <v>-2.5879204572746062</v>
      </c>
      <c r="BI447">
        <f t="shared" si="360"/>
        <v>-2.5879204572746062</v>
      </c>
      <c r="BJ447">
        <f t="shared" si="349"/>
        <v>0</v>
      </c>
      <c r="BK447">
        <f t="shared" si="361"/>
        <v>0</v>
      </c>
      <c r="BM447">
        <f t="shared" si="362"/>
        <v>-54.334390100960796</v>
      </c>
      <c r="BN447">
        <f t="shared" si="350"/>
        <v>-143.45824476178694</v>
      </c>
      <c r="BQ447" s="56">
        <f t="shared" si="363"/>
        <v>19.663764705199934</v>
      </c>
    </row>
    <row r="448" spans="1:69" x14ac:dyDescent="0.2">
      <c r="A448">
        <f t="shared" si="372"/>
        <v>1170000</v>
      </c>
      <c r="B448">
        <f t="shared" si="351"/>
        <v>1170</v>
      </c>
      <c r="C448">
        <f t="shared" si="320"/>
        <v>1.2411365989894139</v>
      </c>
      <c r="D448">
        <f t="shared" si="321"/>
        <v>0.63391792674730674</v>
      </c>
      <c r="F448">
        <f t="shared" si="322"/>
        <v>1.0240004729476448E-4</v>
      </c>
      <c r="G448">
        <f t="shared" si="323"/>
        <v>5.8733022039022748E-3</v>
      </c>
      <c r="H448">
        <f t="shared" si="324"/>
        <v>-3.1357193477960981</v>
      </c>
      <c r="J448">
        <f t="shared" si="325"/>
        <v>15</v>
      </c>
      <c r="M448">
        <f t="shared" si="326"/>
        <v>6.8185396514258462E-4</v>
      </c>
      <c r="N448">
        <f t="shared" si="327"/>
        <v>-1.5707963250000001</v>
      </c>
      <c r="O448">
        <f t="shared" si="328"/>
        <v>132.32766097144119</v>
      </c>
      <c r="P448">
        <f t="shared" si="329"/>
        <v>1.5632392558775818</v>
      </c>
      <c r="Q448">
        <f t="shared" si="330"/>
        <v>139.23478018329996</v>
      </c>
      <c r="R448">
        <f t="shared" si="331"/>
        <v>1.5636141515078823</v>
      </c>
      <c r="S448">
        <f t="shared" si="332"/>
        <v>0.96014288700105399</v>
      </c>
      <c r="T448">
        <f t="shared" si="333"/>
        <v>-0.28328335125604731</v>
      </c>
      <c r="U448">
        <f t="shared" si="334"/>
        <v>0.14212939720934978</v>
      </c>
      <c r="V448">
        <f t="shared" si="335"/>
        <v>-1.4281840061969457</v>
      </c>
      <c r="X448">
        <f t="shared" si="352"/>
        <v>-49.713589568865181</v>
      </c>
      <c r="Y448">
        <f t="shared" si="336"/>
        <v>-152.24701563423179</v>
      </c>
      <c r="Z448">
        <f t="shared" si="353"/>
        <v>27.752984365768214</v>
      </c>
      <c r="AC448">
        <v>1</v>
      </c>
      <c r="AD448">
        <f t="shared" si="337"/>
        <v>132.32388241800001</v>
      </c>
      <c r="AE448">
        <f t="shared" si="338"/>
        <v>-0.97275610323181638</v>
      </c>
      <c r="AF448">
        <f t="shared" si="339"/>
        <v>0.13967520921899998</v>
      </c>
      <c r="AG448">
        <f t="shared" si="367"/>
        <v>18.130326976604337</v>
      </c>
      <c r="AH448">
        <f t="shared" si="368"/>
        <v>-133.4265853209491</v>
      </c>
      <c r="AJ448">
        <f t="shared" si="340"/>
        <v>10500</v>
      </c>
      <c r="AK448">
        <f t="shared" si="341"/>
        <v>3056.6816838558007</v>
      </c>
      <c r="AL448">
        <v>1</v>
      </c>
      <c r="AM448">
        <f t="shared" si="342"/>
        <v>139.23118908021959</v>
      </c>
      <c r="AN448">
        <f t="shared" si="369"/>
        <v>22.494487619080033</v>
      </c>
      <c r="AO448">
        <f t="shared" si="370"/>
        <v>-75.252575098990121</v>
      </c>
      <c r="AQ448">
        <f t="shared" si="343"/>
        <v>1.8262835440347096E-3</v>
      </c>
      <c r="AR448">
        <f t="shared" si="344"/>
        <v>-4.2735034930412201</v>
      </c>
      <c r="AT448">
        <f t="shared" si="365"/>
        <v>-570.165867315833</v>
      </c>
      <c r="AU448">
        <f t="shared" si="366"/>
        <v>-77.723690441606493</v>
      </c>
      <c r="AV448">
        <f t="shared" si="354"/>
        <v>-3.0061100535078222</v>
      </c>
      <c r="AW448">
        <f t="shared" si="355"/>
        <v>-285.74267749580713</v>
      </c>
      <c r="AX448">
        <f t="shared" si="356"/>
        <v>-307.12972260576691</v>
      </c>
      <c r="AY448">
        <f t="shared" si="364"/>
        <v>-2.3201365200121327</v>
      </c>
      <c r="BA448">
        <f t="shared" si="345"/>
        <v>1.3717365040197254</v>
      </c>
      <c r="BB448">
        <f t="shared" si="357"/>
        <v>2.7454139207034101</v>
      </c>
      <c r="BC448">
        <f t="shared" si="358"/>
        <v>-0.68597353349568957</v>
      </c>
      <c r="BD448">
        <f t="shared" si="346"/>
        <v>-219.3033883718897</v>
      </c>
      <c r="BF448">
        <f t="shared" si="347"/>
        <v>-51.650366105630425</v>
      </c>
      <c r="BG448">
        <f t="shared" si="348"/>
        <v>-182.64605114161012</v>
      </c>
      <c r="BH448">
        <f t="shared" si="359"/>
        <v>-2.6460511416101156</v>
      </c>
      <c r="BI448">
        <f t="shared" si="360"/>
        <v>-2.6460511416101156</v>
      </c>
      <c r="BJ448">
        <f t="shared" si="349"/>
        <v>0</v>
      </c>
      <c r="BK448">
        <f t="shared" si="361"/>
        <v>0</v>
      </c>
      <c r="BM448">
        <f t="shared" si="362"/>
        <v>-54.395780026333831</v>
      </c>
      <c r="BN448">
        <f t="shared" si="350"/>
        <v>-143.34266276972045</v>
      </c>
      <c r="BQ448" s="56">
        <f t="shared" si="363"/>
        <v>19.647374720988545</v>
      </c>
    </row>
    <row r="449" spans="1:69" x14ac:dyDescent="0.2">
      <c r="A449">
        <f t="shared" si="372"/>
        <v>1175000</v>
      </c>
      <c r="B449">
        <f t="shared" si="351"/>
        <v>1175</v>
      </c>
      <c r="C449">
        <f t="shared" si="320"/>
        <v>1.2429999605006194</v>
      </c>
      <c r="D449">
        <f t="shared" si="321"/>
        <v>0.63595430980489465</v>
      </c>
      <c r="F449">
        <f t="shared" si="322"/>
        <v>1.0153033657709425E-4</v>
      </c>
      <c r="G449">
        <f t="shared" si="323"/>
        <v>5.8483048120762712E-3</v>
      </c>
      <c r="H449">
        <f t="shared" si="324"/>
        <v>-3.1357443451879239</v>
      </c>
      <c r="J449">
        <f t="shared" si="325"/>
        <v>15</v>
      </c>
      <c r="M449">
        <f t="shared" si="326"/>
        <v>6.7895245890793533E-4</v>
      </c>
      <c r="N449">
        <f t="shared" si="327"/>
        <v>-1.5707963250000001</v>
      </c>
      <c r="O449">
        <f t="shared" si="328"/>
        <v>132.8931315699466</v>
      </c>
      <c r="P449">
        <f t="shared" si="329"/>
        <v>1.5632714124096454</v>
      </c>
      <c r="Q449">
        <f t="shared" si="330"/>
        <v>139.82976998394128</v>
      </c>
      <c r="R449">
        <f t="shared" si="331"/>
        <v>1.5636447129116067</v>
      </c>
      <c r="S449">
        <f t="shared" si="332"/>
        <v>0.95982180003608775</v>
      </c>
      <c r="T449">
        <f t="shared" si="333"/>
        <v>-0.28442984484833972</v>
      </c>
      <c r="U449">
        <f t="shared" si="334"/>
        <v>0.14153673249538154</v>
      </c>
      <c r="V449">
        <f t="shared" si="335"/>
        <v>-1.4287827235995412</v>
      </c>
      <c r="X449">
        <f t="shared" si="352"/>
        <v>-49.776809619754452</v>
      </c>
      <c r="Y449">
        <f t="shared" si="336"/>
        <v>-152.22817147593545</v>
      </c>
      <c r="Z449">
        <f t="shared" si="353"/>
        <v>27.771828524064546</v>
      </c>
      <c r="AC449">
        <v>1</v>
      </c>
      <c r="AD449">
        <f t="shared" si="337"/>
        <v>132.88936909500003</v>
      </c>
      <c r="AE449">
        <f t="shared" si="338"/>
        <v>-0.98108802324817468</v>
      </c>
      <c r="AF449">
        <f t="shared" si="339"/>
        <v>0.14027211182249999</v>
      </c>
      <c r="AG449">
        <f t="shared" si="367"/>
        <v>17.979439094548521</v>
      </c>
      <c r="AH449">
        <f t="shared" si="368"/>
        <v>-132.88038597414021</v>
      </c>
      <c r="AJ449">
        <f t="shared" si="340"/>
        <v>10500</v>
      </c>
      <c r="AK449">
        <f t="shared" si="341"/>
        <v>3069.7444260945003</v>
      </c>
      <c r="AL449">
        <v>1</v>
      </c>
      <c r="AM449">
        <f t="shared" si="342"/>
        <v>139.82619416175902</v>
      </c>
      <c r="AN449">
        <f t="shared" si="369"/>
        <v>22.489897755904092</v>
      </c>
      <c r="AO449">
        <f t="shared" si="370"/>
        <v>-74.932384200653473</v>
      </c>
      <c r="AQ449">
        <f t="shared" si="343"/>
        <v>1.8107737780400583E-3</v>
      </c>
      <c r="AR449">
        <f t="shared" si="344"/>
        <v>-4.2553183783941373</v>
      </c>
      <c r="AT449">
        <f t="shared" si="365"/>
        <v>-565.41579186700903</v>
      </c>
      <c r="AU449">
        <f t="shared" si="366"/>
        <v>-76.748853930788187</v>
      </c>
      <c r="AV449">
        <f t="shared" si="354"/>
        <v>-3.0066784328904799</v>
      </c>
      <c r="AW449">
        <f t="shared" si="355"/>
        <v>-283.12743485215162</v>
      </c>
      <c r="AX449">
        <f t="shared" si="356"/>
        <v>-305.8179852862682</v>
      </c>
      <c r="AY449">
        <f t="shared" si="364"/>
        <v>-2.3176861112381819</v>
      </c>
      <c r="BA449">
        <f t="shared" si="345"/>
        <v>1.3691477798017004</v>
      </c>
      <c r="BB449">
        <f t="shared" si="357"/>
        <v>2.7290065300813988</v>
      </c>
      <c r="BC449">
        <f t="shared" si="358"/>
        <v>-0.68899232165229796</v>
      </c>
      <c r="BD449">
        <f t="shared" si="346"/>
        <v>-219.47635219270506</v>
      </c>
      <c r="BF449">
        <f t="shared" si="347"/>
        <v>-51.727829474188319</v>
      </c>
      <c r="BG449">
        <f t="shared" si="348"/>
        <v>-182.70377105267255</v>
      </c>
      <c r="BH449">
        <f t="shared" si="359"/>
        <v>-2.7037710526725505</v>
      </c>
      <c r="BI449">
        <f t="shared" si="360"/>
        <v>-2.7037710526725505</v>
      </c>
      <c r="BJ449">
        <f t="shared" si="349"/>
        <v>0</v>
      </c>
      <c r="BK449">
        <f t="shared" si="361"/>
        <v>0</v>
      </c>
      <c r="BM449">
        <f t="shared" si="362"/>
        <v>-54.456836004269718</v>
      </c>
      <c r="BN449">
        <f t="shared" si="350"/>
        <v>-143.22741885996749</v>
      </c>
      <c r="BQ449" s="56">
        <f t="shared" si="363"/>
        <v>19.630967330366534</v>
      </c>
    </row>
    <row r="450" spans="1:69" x14ac:dyDescent="0.2">
      <c r="A450">
        <f t="shared" si="372"/>
        <v>1180000</v>
      </c>
      <c r="B450">
        <f t="shared" si="351"/>
        <v>1180</v>
      </c>
      <c r="C450">
        <f t="shared" si="320"/>
        <v>1.2448684611101812</v>
      </c>
      <c r="D450">
        <f t="shared" si="321"/>
        <v>0.63798458819239834</v>
      </c>
      <c r="F450">
        <f t="shared" si="322"/>
        <v>1.0067165932819202E-4</v>
      </c>
      <c r="G450">
        <f t="shared" si="323"/>
        <v>5.8235193208717381E-3</v>
      </c>
      <c r="H450">
        <f t="shared" si="324"/>
        <v>-3.1357691306791287</v>
      </c>
      <c r="J450">
        <f t="shared" si="325"/>
        <v>15</v>
      </c>
      <c r="M450">
        <f t="shared" si="326"/>
        <v>6.760755417091729E-4</v>
      </c>
      <c r="N450">
        <f t="shared" si="327"/>
        <v>-1.5707963250000001</v>
      </c>
      <c r="O450">
        <f t="shared" si="328"/>
        <v>133.45860230470467</v>
      </c>
      <c r="P450">
        <f t="shared" si="329"/>
        <v>1.5633032964440909</v>
      </c>
      <c r="Q450">
        <f t="shared" si="330"/>
        <v>140.42475991407679</v>
      </c>
      <c r="R450">
        <f t="shared" si="331"/>
        <v>1.5636750153335748</v>
      </c>
      <c r="S450">
        <f t="shared" si="332"/>
        <v>0.95949966780601958</v>
      </c>
      <c r="T450">
        <f t="shared" si="333"/>
        <v>-0.28557557038098352</v>
      </c>
      <c r="U450">
        <f t="shared" si="334"/>
        <v>0.14094894005892214</v>
      </c>
      <c r="V450">
        <f t="shared" si="335"/>
        <v>-1.4293764683480885</v>
      </c>
      <c r="X450">
        <f t="shared" si="352"/>
        <v>-49.839718394350669</v>
      </c>
      <c r="Y450">
        <f t="shared" si="336"/>
        <v>-152.20936648131786</v>
      </c>
      <c r="Z450">
        <f t="shared" si="353"/>
        <v>27.790633518682142</v>
      </c>
      <c r="AC450">
        <v>1</v>
      </c>
      <c r="AD450">
        <f t="shared" si="337"/>
        <v>133.45485577200003</v>
      </c>
      <c r="AE450">
        <f t="shared" si="338"/>
        <v>-0.98945547384029586</v>
      </c>
      <c r="AF450">
        <f t="shared" si="339"/>
        <v>0.140869014426</v>
      </c>
      <c r="AG450">
        <f t="shared" si="367"/>
        <v>17.830414404458978</v>
      </c>
      <c r="AH450">
        <f t="shared" si="368"/>
        <v>-132.33855017226551</v>
      </c>
      <c r="AJ450">
        <f t="shared" si="340"/>
        <v>10500</v>
      </c>
      <c r="AK450">
        <f t="shared" si="341"/>
        <v>3082.8071683332</v>
      </c>
      <c r="AL450">
        <v>1</v>
      </c>
      <c r="AM450">
        <f t="shared" si="342"/>
        <v>140.42119924329842</v>
      </c>
      <c r="AN450">
        <f t="shared" si="369"/>
        <v>22.485366110799667</v>
      </c>
      <c r="AO450">
        <f t="shared" si="370"/>
        <v>-74.614906369910088</v>
      </c>
      <c r="AQ450">
        <f t="shared" si="343"/>
        <v>1.7954607520359179E-3</v>
      </c>
      <c r="AR450">
        <f t="shared" si="344"/>
        <v>-4.2372873748047661</v>
      </c>
      <c r="AT450">
        <f t="shared" si="365"/>
        <v>-560.724454035652</v>
      </c>
      <c r="AU450">
        <f t="shared" si="366"/>
        <v>-75.790198516366715</v>
      </c>
      <c r="AV450">
        <f t="shared" si="354"/>
        <v>-3.0072420967055913</v>
      </c>
      <c r="AW450">
        <f t="shared" si="355"/>
        <v>-280.54540119307489</v>
      </c>
      <c r="AX450">
        <f t="shared" si="356"/>
        <v>-304.5174303434946</v>
      </c>
      <c r="AY450">
        <f t="shared" si="364"/>
        <v>-2.3152439692661138</v>
      </c>
      <c r="BA450">
        <f t="shared" si="345"/>
        <v>1.3665612814401673</v>
      </c>
      <c r="BB450">
        <f t="shared" si="357"/>
        <v>2.7125822353128743</v>
      </c>
      <c r="BC450">
        <f t="shared" si="358"/>
        <v>-0.69199812743947753</v>
      </c>
      <c r="BD450">
        <f t="shared" si="346"/>
        <v>-219.64857217854325</v>
      </c>
      <c r="BF450">
        <f t="shared" si="347"/>
        <v>-51.804978760794867</v>
      </c>
      <c r="BG450">
        <f t="shared" si="348"/>
        <v>-182.76108475957804</v>
      </c>
      <c r="BH450">
        <f t="shared" si="359"/>
        <v>-2.7610847595780399</v>
      </c>
      <c r="BI450">
        <f t="shared" si="360"/>
        <v>-2.7610847595780399</v>
      </c>
      <c r="BJ450">
        <f t="shared" si="349"/>
        <v>0</v>
      </c>
      <c r="BK450">
        <f t="shared" si="361"/>
        <v>0</v>
      </c>
      <c r="BM450">
        <f t="shared" si="362"/>
        <v>-54.517560996107747</v>
      </c>
      <c r="BN450">
        <f t="shared" si="350"/>
        <v>-143.11251258103479</v>
      </c>
      <c r="BQ450" s="56">
        <f t="shared" si="363"/>
        <v>19.614543035598011</v>
      </c>
    </row>
    <row r="451" spans="1:69" x14ac:dyDescent="0.2">
      <c r="A451">
        <f t="shared" si="372"/>
        <v>1185000</v>
      </c>
      <c r="B451">
        <f t="shared" si="351"/>
        <v>1185</v>
      </c>
      <c r="C451">
        <f t="shared" si="320"/>
        <v>1.2467420777120974</v>
      </c>
      <c r="D451">
        <f t="shared" si="321"/>
        <v>0.64000877265700806</v>
      </c>
      <c r="F451">
        <f t="shared" si="322"/>
        <v>9.9823829696162099E-5</v>
      </c>
      <c r="G451">
        <f t="shared" si="323"/>
        <v>5.7989430470241562E-3</v>
      </c>
      <c r="H451">
        <f t="shared" si="324"/>
        <v>-3.1357937069529762</v>
      </c>
      <c r="J451">
        <f t="shared" si="325"/>
        <v>15</v>
      </c>
      <c r="M451">
        <f t="shared" si="326"/>
        <v>6.7322290229267852E-4</v>
      </c>
      <c r="N451">
        <f t="shared" si="327"/>
        <v>-1.5707963250000001</v>
      </c>
      <c r="O451">
        <f t="shared" si="328"/>
        <v>134.02407317399076</v>
      </c>
      <c r="P451">
        <f t="shared" si="329"/>
        <v>1.5633349114299973</v>
      </c>
      <c r="Q451">
        <f t="shared" si="330"/>
        <v>141.01974997206739</v>
      </c>
      <c r="R451">
        <f t="shared" si="331"/>
        <v>1.5637050620518149</v>
      </c>
      <c r="S451">
        <f t="shared" si="332"/>
        <v>0.95917649389878867</v>
      </c>
      <c r="T451">
        <f t="shared" si="333"/>
        <v>-0.28672052562059902</v>
      </c>
      <c r="U451">
        <f t="shared" si="334"/>
        <v>0.14036596068397864</v>
      </c>
      <c r="V451">
        <f t="shared" si="335"/>
        <v>-1.4299653017235727</v>
      </c>
      <c r="X451">
        <f t="shared" si="352"/>
        <v>-49.902318642085689</v>
      </c>
      <c r="Y451">
        <f t="shared" si="336"/>
        <v>-152.1906031860938</v>
      </c>
      <c r="Z451">
        <f t="shared" si="353"/>
        <v>27.809396813906204</v>
      </c>
      <c r="AC451">
        <v>1</v>
      </c>
      <c r="AD451">
        <f t="shared" si="337"/>
        <v>134.02034244900003</v>
      </c>
      <c r="AE451">
        <f t="shared" si="338"/>
        <v>-0.9978584550081796</v>
      </c>
      <c r="AF451">
        <f t="shared" si="339"/>
        <v>0.14146591702949998</v>
      </c>
      <c r="AG451">
        <f t="shared" si="367"/>
        <v>17.683222564184323</v>
      </c>
      <c r="AH451">
        <f t="shared" si="368"/>
        <v>-131.80102698217144</v>
      </c>
      <c r="AJ451">
        <f t="shared" si="340"/>
        <v>10500</v>
      </c>
      <c r="AK451">
        <f t="shared" si="341"/>
        <v>3095.8699105719002</v>
      </c>
      <c r="AL451">
        <v>1</v>
      </c>
      <c r="AM451">
        <f t="shared" si="342"/>
        <v>141.01620432483782</v>
      </c>
      <c r="AN451">
        <f t="shared" si="369"/>
        <v>22.480891703341701</v>
      </c>
      <c r="AO451">
        <f t="shared" si="370"/>
        <v>-74.300107271084769</v>
      </c>
      <c r="AQ451">
        <f t="shared" si="343"/>
        <v>1.7803411525323305E-3</v>
      </c>
      <c r="AR451">
        <f t="shared" si="344"/>
        <v>-4.2194085315016236</v>
      </c>
      <c r="AT451">
        <f t="shared" si="365"/>
        <v>-556.09089554040941</v>
      </c>
      <c r="AU451">
        <f t="shared" si="366"/>
        <v>-74.847390944043724</v>
      </c>
      <c r="AV451">
        <f t="shared" si="354"/>
        <v>-3.0078011029801388</v>
      </c>
      <c r="AW451">
        <f t="shared" si="355"/>
        <v>-277.99601650282125</v>
      </c>
      <c r="AX451">
        <f t="shared" si="356"/>
        <v>-303.22791501440889</v>
      </c>
      <c r="AY451">
        <f t="shared" si="364"/>
        <v>-2.3128100653702273</v>
      </c>
      <c r="BA451">
        <f t="shared" si="345"/>
        <v>1.3639770925446342</v>
      </c>
      <c r="BB451">
        <f t="shared" si="357"/>
        <v>2.6961415315558215</v>
      </c>
      <c r="BC451">
        <f t="shared" si="358"/>
        <v>-0.69499103760991154</v>
      </c>
      <c r="BD451">
        <f t="shared" si="346"/>
        <v>-219.82005329996684</v>
      </c>
      <c r="BF451">
        <f t="shared" si="347"/>
        <v>-51.881816395665759</v>
      </c>
      <c r="BG451">
        <f t="shared" si="348"/>
        <v>-182.81799677086025</v>
      </c>
      <c r="BH451">
        <f t="shared" si="359"/>
        <v>-2.8179967708602476</v>
      </c>
      <c r="BI451">
        <f t="shared" si="360"/>
        <v>-2.8179967708602476</v>
      </c>
      <c r="BJ451">
        <f t="shared" si="349"/>
        <v>0</v>
      </c>
      <c r="BK451">
        <f t="shared" si="361"/>
        <v>0</v>
      </c>
      <c r="BM451">
        <f t="shared" si="362"/>
        <v>-54.577957927221583</v>
      </c>
      <c r="BN451">
        <f t="shared" si="350"/>
        <v>-142.9979434708934</v>
      </c>
      <c r="BQ451" s="56">
        <f t="shared" si="363"/>
        <v>19.598102331840959</v>
      </c>
    </row>
    <row r="452" spans="1:69" x14ac:dyDescent="0.2">
      <c r="A452">
        <f t="shared" si="372"/>
        <v>1190000</v>
      </c>
      <c r="B452">
        <f t="shared" si="351"/>
        <v>1190</v>
      </c>
      <c r="C452">
        <f t="shared" si="320"/>
        <v>1.2486207872759774</v>
      </c>
      <c r="D452">
        <f t="shared" si="321"/>
        <v>0.64202687408124615</v>
      </c>
      <c r="F452">
        <f t="shared" si="322"/>
        <v>9.8986665726001402E-5</v>
      </c>
      <c r="G452">
        <f t="shared" si="323"/>
        <v>5.7745733523863101E-3</v>
      </c>
      <c r="H452">
        <f t="shared" si="324"/>
        <v>-3.135818076647614</v>
      </c>
      <c r="J452">
        <f t="shared" si="325"/>
        <v>15</v>
      </c>
      <c r="M452">
        <f t="shared" si="326"/>
        <v>6.7039423463598658E-4</v>
      </c>
      <c r="N452">
        <f t="shared" si="327"/>
        <v>-1.5707963250000001</v>
      </c>
      <c r="O452">
        <f t="shared" si="328"/>
        <v>134.58954417610926</v>
      </c>
      <c r="P452">
        <f t="shared" si="329"/>
        <v>1.5633662607584817</v>
      </c>
      <c r="Q452">
        <f t="shared" si="330"/>
        <v>141.61474015630159</v>
      </c>
      <c r="R452">
        <f t="shared" si="331"/>
        <v>1.5637348562892681</v>
      </c>
      <c r="S452">
        <f t="shared" si="332"/>
        <v>0.95885228190724103</v>
      </c>
      <c r="T452">
        <f t="shared" si="333"/>
        <v>-0.28786470834488664</v>
      </c>
      <c r="U452">
        <f t="shared" si="334"/>
        <v>0.13978773609997946</v>
      </c>
      <c r="V452">
        <f t="shared" si="335"/>
        <v>-1.4305492840109642</v>
      </c>
      <c r="X452">
        <f t="shared" si="352"/>
        <v>-49.96461308011655</v>
      </c>
      <c r="Y452">
        <f t="shared" si="336"/>
        <v>-152.1718840656838</v>
      </c>
      <c r="Z452">
        <f t="shared" si="353"/>
        <v>27.828115934316202</v>
      </c>
      <c r="AC452">
        <v>1</v>
      </c>
      <c r="AD452">
        <f t="shared" si="337"/>
        <v>134.58582912600002</v>
      </c>
      <c r="AE452">
        <f t="shared" si="338"/>
        <v>-1.0062969667518262</v>
      </c>
      <c r="AF452">
        <f t="shared" si="339"/>
        <v>0.14206281963299999</v>
      </c>
      <c r="AG452">
        <f t="shared" si="367"/>
        <v>17.537833842443842</v>
      </c>
      <c r="AH452">
        <f t="shared" si="368"/>
        <v>-131.26776624048458</v>
      </c>
      <c r="AJ452">
        <f t="shared" si="340"/>
        <v>10500</v>
      </c>
      <c r="AK452">
        <f t="shared" si="341"/>
        <v>3108.9326528106003</v>
      </c>
      <c r="AL452">
        <v>1</v>
      </c>
      <c r="AM452">
        <f t="shared" si="342"/>
        <v>141.61120940637721</v>
      </c>
      <c r="AN452">
        <f t="shared" si="369"/>
        <v>22.476473573656875</v>
      </c>
      <c r="AO452">
        <f t="shared" si="370"/>
        <v>-73.987953145427397</v>
      </c>
      <c r="AQ452">
        <f t="shared" si="343"/>
        <v>1.7654117355038954E-3</v>
      </c>
      <c r="AR452">
        <f t="shared" si="344"/>
        <v>-4.2016799304992709</v>
      </c>
      <c r="AT452">
        <f t="shared" si="365"/>
        <v>-551.51417743643299</v>
      </c>
      <c r="AU452">
        <f t="shared" si="366"/>
        <v>-73.920106135241539</v>
      </c>
      <c r="AV452">
        <f t="shared" si="354"/>
        <v>-3.0083555087997742</v>
      </c>
      <c r="AW452">
        <f t="shared" si="355"/>
        <v>-275.47873252314582</v>
      </c>
      <c r="AX452">
        <f t="shared" si="356"/>
        <v>-301.94929896330427</v>
      </c>
      <c r="AY452">
        <f t="shared" si="364"/>
        <v>-2.3103843707421681</v>
      </c>
      <c r="BA452">
        <f t="shared" si="345"/>
        <v>1.3613952950152048</v>
      </c>
      <c r="BB452">
        <f t="shared" si="357"/>
        <v>2.6796849069719322</v>
      </c>
      <c r="BC452">
        <f t="shared" si="358"/>
        <v>-0.69797113805760613</v>
      </c>
      <c r="BD452">
        <f t="shared" si="346"/>
        <v>-219.99080047833991</v>
      </c>
      <c r="BF452">
        <f t="shared" si="347"/>
        <v>-51.95834478062465</v>
      </c>
      <c r="BG452">
        <f t="shared" si="348"/>
        <v>-182.87451153551535</v>
      </c>
      <c r="BH452">
        <f t="shared" si="359"/>
        <v>-2.874511535515353</v>
      </c>
      <c r="BI452">
        <f t="shared" si="360"/>
        <v>-2.874511535515353</v>
      </c>
      <c r="BJ452">
        <f t="shared" si="349"/>
        <v>0</v>
      </c>
      <c r="BK452">
        <f t="shared" si="361"/>
        <v>0</v>
      </c>
      <c r="BM452">
        <f t="shared" si="362"/>
        <v>-54.638029687596578</v>
      </c>
      <c r="BN452">
        <f t="shared" si="350"/>
        <v>-142.88371105717547</v>
      </c>
      <c r="BQ452" s="56">
        <f t="shared" si="363"/>
        <v>19.581645707257071</v>
      </c>
    </row>
    <row r="453" spans="1:69" x14ac:dyDescent="0.2">
      <c r="A453">
        <f t="shared" si="372"/>
        <v>1195000</v>
      </c>
      <c r="B453">
        <f t="shared" si="351"/>
        <v>1195</v>
      </c>
      <c r="C453">
        <f t="shared" si="320"/>
        <v>1.2505045668474153</v>
      </c>
      <c r="D453">
        <f t="shared" si="321"/>
        <v>0.64403890348052273</v>
      </c>
      <c r="F453">
        <f t="shared" si="322"/>
        <v>9.8159989261955346E-5</v>
      </c>
      <c r="G453">
        <f t="shared" si="323"/>
        <v>5.750407642983903E-3</v>
      </c>
      <c r="H453">
        <f t="shared" si="324"/>
        <v>-3.1358422423570165</v>
      </c>
      <c r="J453">
        <f t="shared" si="325"/>
        <v>15</v>
      </c>
      <c r="M453">
        <f t="shared" si="326"/>
        <v>6.6758923783834646E-4</v>
      </c>
      <c r="N453">
        <f t="shared" si="327"/>
        <v>-1.5707963250000001</v>
      </c>
      <c r="O453">
        <f t="shared" si="328"/>
        <v>135.15501530939292</v>
      </c>
      <c r="P453">
        <f t="shared" si="329"/>
        <v>1.5633973477639111</v>
      </c>
      <c r="Q453">
        <f t="shared" si="330"/>
        <v>142.20973046519478</v>
      </c>
      <c r="R453">
        <f t="shared" si="331"/>
        <v>1.5637644012149388</v>
      </c>
      <c r="S453">
        <f t="shared" si="332"/>
        <v>0.95852703542903239</v>
      </c>
      <c r="T453">
        <f t="shared" si="333"/>
        <v>-0.28900811634263546</v>
      </c>
      <c r="U453">
        <f t="shared" si="334"/>
        <v>0.13921420896319528</v>
      </c>
      <c r="V453">
        <f t="shared" si="335"/>
        <v>-1.4311284745192328</v>
      </c>
      <c r="X453">
        <f t="shared" si="352"/>
        <v>-50.026604393814139</v>
      </c>
      <c r="Y453">
        <f t="shared" si="336"/>
        <v>-152.15321153641995</v>
      </c>
      <c r="Z453">
        <f t="shared" si="353"/>
        <v>27.846788463580054</v>
      </c>
      <c r="AC453">
        <v>1</v>
      </c>
      <c r="AD453">
        <f t="shared" si="337"/>
        <v>135.15131580300002</v>
      </c>
      <c r="AE453">
        <f t="shared" si="338"/>
        <v>-1.0147710090712356</v>
      </c>
      <c r="AF453">
        <f t="shared" si="339"/>
        <v>0.14265972223649998</v>
      </c>
      <c r="AG453">
        <f t="shared" si="367"/>
        <v>17.39421910423383</v>
      </c>
      <c r="AH453">
        <f t="shared" si="368"/>
        <v>-130.73871853955967</v>
      </c>
      <c r="AJ453">
        <f t="shared" si="340"/>
        <v>10500</v>
      </c>
      <c r="AK453">
        <f t="shared" si="341"/>
        <v>3121.9953950493004</v>
      </c>
      <c r="AL453">
        <v>1</v>
      </c>
      <c r="AM453">
        <f t="shared" si="342"/>
        <v>142.20621448791661</v>
      </c>
      <c r="AN453">
        <f t="shared" si="369"/>
        <v>22.472110781908807</v>
      </c>
      <c r="AO453">
        <f t="shared" si="370"/>
        <v>-73.678410799046873</v>
      </c>
      <c r="AQ453">
        <f t="shared" si="343"/>
        <v>1.7506693246495467E-3</v>
      </c>
      <c r="AR453">
        <f t="shared" si="344"/>
        <v>-4.1840996859124164</v>
      </c>
      <c r="AT453">
        <f t="shared" si="365"/>
        <v>-546.99337965215136</v>
      </c>
      <c r="AU453">
        <f t="shared" si="366"/>
        <v>-73.008026954807718</v>
      </c>
      <c r="AV453">
        <f t="shared" si="354"/>
        <v>-3.0089053703276902</v>
      </c>
      <c r="AW453">
        <f t="shared" si="355"/>
        <v>-272.9930124582811</v>
      </c>
      <c r="AX453">
        <f t="shared" si="356"/>
        <v>-300.68144423025308</v>
      </c>
      <c r="AY453">
        <f t="shared" si="364"/>
        <v>-2.3079668564953724</v>
      </c>
      <c r="BA453">
        <f t="shared" si="345"/>
        <v>1.3588159690711432</v>
      </c>
      <c r="BB453">
        <f t="shared" si="357"/>
        <v>2.6632128428341972</v>
      </c>
      <c r="BC453">
        <f t="shared" si="358"/>
        <v>-0.70093851383231787</v>
      </c>
      <c r="BD453">
        <f t="shared" si="346"/>
        <v>-220.1608185866545</v>
      </c>
      <c r="BF453">
        <f t="shared" si="347"/>
        <v>-52.034566289561042</v>
      </c>
      <c r="BG453">
        <f t="shared" si="348"/>
        <v>-182.93063344402276</v>
      </c>
      <c r="BH453">
        <f t="shared" si="359"/>
        <v>-2.9306334440227602</v>
      </c>
      <c r="BI453">
        <f t="shared" si="360"/>
        <v>-2.9306334440227602</v>
      </c>
      <c r="BJ453">
        <f t="shared" si="349"/>
        <v>0</v>
      </c>
      <c r="BK453">
        <f t="shared" si="361"/>
        <v>0</v>
      </c>
      <c r="BM453">
        <f t="shared" si="362"/>
        <v>-54.697779132395247</v>
      </c>
      <c r="BN453">
        <f t="shared" si="350"/>
        <v>-142.76981485736826</v>
      </c>
      <c r="BQ453" s="56">
        <f t="shared" si="363"/>
        <v>19.565173643119333</v>
      </c>
    </row>
    <row r="454" spans="1:69" x14ac:dyDescent="0.2">
      <c r="A454">
        <f t="shared" si="372"/>
        <v>1200000</v>
      </c>
      <c r="B454">
        <f t="shared" si="351"/>
        <v>1200</v>
      </c>
      <c r="C454">
        <f t="shared" si="320"/>
        <v>1.2523933935483529</v>
      </c>
      <c r="D454">
        <f t="shared" si="321"/>
        <v>0.64604487200071159</v>
      </c>
      <c r="F454">
        <f t="shared" si="322"/>
        <v>9.7343625852716839E-5</v>
      </c>
      <c r="G454">
        <f t="shared" si="323"/>
        <v>5.7264433680948006E-3</v>
      </c>
      <c r="H454">
        <f t="shared" si="324"/>
        <v>-3.1358662066319054</v>
      </c>
      <c r="J454">
        <f t="shared" si="325"/>
        <v>15</v>
      </c>
      <c r="M454">
        <f t="shared" si="326"/>
        <v>6.6480761601402007E-4</v>
      </c>
      <c r="N454">
        <f t="shared" si="327"/>
        <v>-1.5707963250000001</v>
      </c>
      <c r="O454">
        <f t="shared" si="328"/>
        <v>135.72048657220225</v>
      </c>
      <c r="P454">
        <f t="shared" si="329"/>
        <v>1.563428175725085</v>
      </c>
      <c r="Q454">
        <f t="shared" si="330"/>
        <v>142.80472089718879</v>
      </c>
      <c r="R454">
        <f t="shared" si="331"/>
        <v>1.5637936999450193</v>
      </c>
      <c r="S454">
        <f t="shared" si="332"/>
        <v>0.95820075806653338</v>
      </c>
      <c r="T454">
        <f t="shared" si="333"/>
        <v>-0.29015074741373093</v>
      </c>
      <c r="U454">
        <f t="shared" si="334"/>
        <v>0.13864532283859146</v>
      </c>
      <c r="V454">
        <f t="shared" si="335"/>
        <v>-1.4317029316008858</v>
      </c>
      <c r="X454">
        <f t="shared" si="352"/>
        <v>-50.088295237242349</v>
      </c>
      <c r="Y454">
        <f t="shared" si="336"/>
        <v>-152.1345879567254</v>
      </c>
      <c r="Z454">
        <f t="shared" si="353"/>
        <v>27.865412043274603</v>
      </c>
      <c r="AC454">
        <v>1</v>
      </c>
      <c r="AD454">
        <f t="shared" si="337"/>
        <v>135.71680248000001</v>
      </c>
      <c r="AE454">
        <f t="shared" si="338"/>
        <v>-1.0232805819664077</v>
      </c>
      <c r="AF454">
        <f t="shared" si="339"/>
        <v>0.14325662483999999</v>
      </c>
      <c r="AG454">
        <f t="shared" si="367"/>
        <v>17.252349796635965</v>
      </c>
      <c r="AH454">
        <f t="shared" si="368"/>
        <v>-130.21383521372155</v>
      </c>
      <c r="AJ454">
        <f t="shared" si="340"/>
        <v>10500</v>
      </c>
      <c r="AK454">
        <f t="shared" si="341"/>
        <v>3135.0581372880006</v>
      </c>
      <c r="AL454">
        <v>1</v>
      </c>
      <c r="AM454">
        <f t="shared" si="342"/>
        <v>142.80121956945601</v>
      </c>
      <c r="AN454">
        <f t="shared" si="369"/>
        <v>22.467802407798231</v>
      </c>
      <c r="AO454">
        <f t="shared" si="370"/>
        <v>-73.37144759114689</v>
      </c>
      <c r="AQ454">
        <f t="shared" si="343"/>
        <v>1.7361108097029845E-3</v>
      </c>
      <c r="AR454">
        <f t="shared" si="344"/>
        <v>-4.1666659432871622</v>
      </c>
      <c r="AT454">
        <f t="shared" si="365"/>
        <v>-542.52760053884549</v>
      </c>
      <c r="AU454">
        <f t="shared" si="366"/>
        <v>-72.110843986207698</v>
      </c>
      <c r="AV454">
        <f t="shared" si="354"/>
        <v>-3.0094507428230401</v>
      </c>
      <c r="AW454">
        <f t="shared" si="355"/>
        <v>-270.53833068850838</v>
      </c>
      <c r="AX454">
        <f t="shared" si="356"/>
        <v>-299.42421518086894</v>
      </c>
      <c r="AY454">
        <f t="shared" si="364"/>
        <v>-2.3055574936694256</v>
      </c>
      <c r="BA454">
        <f t="shared" si="345"/>
        <v>1.3562391932788977</v>
      </c>
      <c r="BB454">
        <f t="shared" si="357"/>
        <v>2.6467258136321412</v>
      </c>
      <c r="BC454">
        <f t="shared" si="358"/>
        <v>-0.70389324915361451</v>
      </c>
      <c r="BD454">
        <f t="shared" si="346"/>
        <v>-220.33011245033649</v>
      </c>
      <c r="BF454">
        <f t="shared" si="347"/>
        <v>-52.110483268878873</v>
      </c>
      <c r="BG454">
        <f t="shared" si="348"/>
        <v>-182.98636682934227</v>
      </c>
      <c r="BH454">
        <f t="shared" si="359"/>
        <v>-2.9863668293422734</v>
      </c>
      <c r="BI454">
        <f t="shared" si="360"/>
        <v>-2.9863668293422734</v>
      </c>
      <c r="BJ454">
        <f t="shared" si="349"/>
        <v>0</v>
      </c>
      <c r="BK454">
        <f t="shared" si="361"/>
        <v>0</v>
      </c>
      <c r="BM454">
        <f t="shared" si="362"/>
        <v>-54.757209082511011</v>
      </c>
      <c r="BN454">
        <f t="shared" si="350"/>
        <v>-142.65625437900579</v>
      </c>
      <c r="BQ454" s="56">
        <f t="shared" si="363"/>
        <v>19.54868661391728</v>
      </c>
    </row>
    <row r="455" spans="1:69" x14ac:dyDescent="0.2">
      <c r="A455">
        <f t="shared" si="372"/>
        <v>1205000</v>
      </c>
      <c r="B455">
        <f t="shared" si="351"/>
        <v>1205</v>
      </c>
      <c r="C455">
        <f t="shared" si="320"/>
        <v>1.2542872445774271</v>
      </c>
      <c r="D455">
        <f t="shared" si="321"/>
        <v>0.64804479091574574</v>
      </c>
      <c r="F455">
        <f t="shared" si="322"/>
        <v>9.6537404659373204E-5</v>
      </c>
      <c r="G455">
        <f t="shared" si="323"/>
        <v>5.7026780193511995E-3</v>
      </c>
      <c r="H455">
        <f t="shared" si="324"/>
        <v>-3.135889971980649</v>
      </c>
      <c r="J455">
        <f t="shared" si="325"/>
        <v>15</v>
      </c>
      <c r="M455">
        <f t="shared" si="326"/>
        <v>6.6204907818823567E-4</v>
      </c>
      <c r="N455">
        <f t="shared" si="327"/>
        <v>-1.5707963250000001</v>
      </c>
      <c r="O455">
        <f t="shared" si="328"/>
        <v>136.28595796292498</v>
      </c>
      <c r="P455">
        <f t="shared" si="329"/>
        <v>1.5634587478663873</v>
      </c>
      <c r="Q455">
        <f t="shared" si="330"/>
        <v>143.39971145075134</v>
      </c>
      <c r="R455">
        <f t="shared" si="331"/>
        <v>1.563822755543985</v>
      </c>
      <c r="S455">
        <f t="shared" si="332"/>
        <v>0.95787345342673169</v>
      </c>
      <c r="T455">
        <f t="shared" si="333"/>
        <v>-0.29129259936916196</v>
      </c>
      <c r="U455">
        <f t="shared" si="334"/>
        <v>0.13808102218209958</v>
      </c>
      <c r="V455">
        <f t="shared" si="335"/>
        <v>-1.4322727126710395</v>
      </c>
      <c r="X455">
        <f t="shared" si="352"/>
        <v>-50.149688233628211</v>
      </c>
      <c r="Y455">
        <f t="shared" si="336"/>
        <v>-152.116015628268</v>
      </c>
      <c r="Z455">
        <f t="shared" si="353"/>
        <v>27.883984371731998</v>
      </c>
      <c r="AC455">
        <v>1</v>
      </c>
      <c r="AD455">
        <f t="shared" si="337"/>
        <v>136.28228915700001</v>
      </c>
      <c r="AE455">
        <f t="shared" si="338"/>
        <v>-1.0318256854373424</v>
      </c>
      <c r="AF455">
        <f t="shared" si="339"/>
        <v>0.1438535274435</v>
      </c>
      <c r="AG455">
        <f t="shared" si="367"/>
        <v>17.112197935015296</v>
      </c>
      <c r="AH455">
        <f t="shared" si="368"/>
        <v>-129.69306832579616</v>
      </c>
      <c r="AJ455">
        <f t="shared" si="340"/>
        <v>10500</v>
      </c>
      <c r="AK455">
        <f t="shared" si="341"/>
        <v>3148.1208795267003</v>
      </c>
      <c r="AL455">
        <v>1</v>
      </c>
      <c r="AM455">
        <f t="shared" si="342"/>
        <v>143.39622465099541</v>
      </c>
      <c r="AN455">
        <f t="shared" si="369"/>
        <v>22.463547550077667</v>
      </c>
      <c r="AO455">
        <f t="shared" si="370"/>
        <v>-73.067031422554194</v>
      </c>
      <c r="AQ455">
        <f t="shared" si="343"/>
        <v>1.7217331447920757E-3</v>
      </c>
      <c r="AR455">
        <f t="shared" si="344"/>
        <v>-4.1493768789489023</v>
      </c>
      <c r="AT455">
        <f t="shared" si="365"/>
        <v>-538.11595643263388</v>
      </c>
      <c r="AU455">
        <f t="shared" si="366"/>
        <v>-71.228255313935918</v>
      </c>
      <c r="AV455">
        <f t="shared" si="354"/>
        <v>-3.0099916806589229</v>
      </c>
      <c r="AW455">
        <f t="shared" si="355"/>
        <v>-268.11417249204419</v>
      </c>
      <c r="AX455">
        <f t="shared" si="356"/>
        <v>-298.177478457343</v>
      </c>
      <c r="AY455">
        <f t="shared" si="364"/>
        <v>-2.3031562532343441</v>
      </c>
      <c r="BA455">
        <f t="shared" si="345"/>
        <v>1.3536650445796274</v>
      </c>
      <c r="BB455">
        <f t="shared" si="357"/>
        <v>2.6302242871749506</v>
      </c>
      <c r="BC455">
        <f t="shared" si="358"/>
        <v>-0.70683542742457872</v>
      </c>
      <c r="BD455">
        <f t="shared" si="346"/>
        <v>-220.49868684803045</v>
      </c>
      <c r="BF455">
        <f t="shared" si="347"/>
        <v>-52.186098037935906</v>
      </c>
      <c r="BG455">
        <f t="shared" si="348"/>
        <v>-183.04171596788868</v>
      </c>
      <c r="BH455">
        <f t="shared" si="359"/>
        <v>-3.0417159678886776</v>
      </c>
      <c r="BI455">
        <f t="shared" si="360"/>
        <v>-3.0417159678886776</v>
      </c>
      <c r="BJ455">
        <f t="shared" si="349"/>
        <v>0</v>
      </c>
      <c r="BK455">
        <f t="shared" si="361"/>
        <v>0</v>
      </c>
      <c r="BM455">
        <f t="shared" si="362"/>
        <v>-54.816322325110853</v>
      </c>
      <c r="BN455">
        <f t="shared" si="350"/>
        <v>-142.5430291198582</v>
      </c>
      <c r="BQ455" s="56">
        <f t="shared" si="363"/>
        <v>19.532185087460086</v>
      </c>
    </row>
    <row r="456" spans="1:69" x14ac:dyDescent="0.2">
      <c r="A456">
        <f t="shared" si="372"/>
        <v>1210000</v>
      </c>
      <c r="B456">
        <f t="shared" si="351"/>
        <v>1210</v>
      </c>
      <c r="C456">
        <f t="shared" si="320"/>
        <v>1.2561860972103085</v>
      </c>
      <c r="D456">
        <f t="shared" si="321"/>
        <v>0.65003867162523354</v>
      </c>
      <c r="F456">
        <f t="shared" si="322"/>
        <v>9.5741158366011267E-5</v>
      </c>
      <c r="G456">
        <f t="shared" si="323"/>
        <v>5.6791091298640821E-3</v>
      </c>
      <c r="H456">
        <f t="shared" si="324"/>
        <v>-3.1359135408701362</v>
      </c>
      <c r="J456">
        <f t="shared" si="325"/>
        <v>15</v>
      </c>
      <c r="M456">
        <f t="shared" si="326"/>
        <v>6.5931333819572232E-4</v>
      </c>
      <c r="N456">
        <f t="shared" si="327"/>
        <v>-1.5707963250000001</v>
      </c>
      <c r="O456">
        <f t="shared" si="328"/>
        <v>136.85142947997551</v>
      </c>
      <c r="P456">
        <f t="shared" si="329"/>
        <v>1.5634890673589121</v>
      </c>
      <c r="Q456">
        <f t="shared" si="330"/>
        <v>143.99470212437544</v>
      </c>
      <c r="R456">
        <f t="shared" si="331"/>
        <v>1.5638515710256629</v>
      </c>
      <c r="S456">
        <f t="shared" si="332"/>
        <v>0.95754512512113676</v>
      </c>
      <c r="T456">
        <f t="shared" si="333"/>
        <v>-0.2924336700310286</v>
      </c>
      <c r="U456">
        <f t="shared" si="334"/>
        <v>0.13752125232329784</v>
      </c>
      <c r="V456">
        <f t="shared" si="335"/>
        <v>-1.4328378742260413</v>
      </c>
      <c r="X456">
        <f t="shared" si="352"/>
        <v>-50.210785975822958</v>
      </c>
      <c r="Y456">
        <f t="shared" si="336"/>
        <v>-152.09749679708841</v>
      </c>
      <c r="Z456">
        <f t="shared" si="353"/>
        <v>27.902503202911589</v>
      </c>
      <c r="AC456">
        <v>1</v>
      </c>
      <c r="AD456">
        <f t="shared" si="337"/>
        <v>136.847775834</v>
      </c>
      <c r="AE456">
        <f t="shared" si="338"/>
        <v>-1.0404063194840398</v>
      </c>
      <c r="AF456">
        <f t="shared" si="339"/>
        <v>0.14445043004699998</v>
      </c>
      <c r="AG456">
        <f t="shared" si="367"/>
        <v>16.973736089595789</v>
      </c>
      <c r="AH456">
        <f t="shared" si="368"/>
        <v>-129.17637065392248</v>
      </c>
      <c r="AJ456">
        <f t="shared" si="340"/>
        <v>10500</v>
      </c>
      <c r="AK456">
        <f t="shared" si="341"/>
        <v>3161.1836217654004</v>
      </c>
      <c r="AL456">
        <v>1</v>
      </c>
      <c r="AM456">
        <f t="shared" si="342"/>
        <v>143.9912297325348</v>
      </c>
      <c r="AN456">
        <f t="shared" si="369"/>
        <v>22.459345326080101</v>
      </c>
      <c r="AO456">
        <f t="shared" si="370"/>
        <v>-72.765130724531346</v>
      </c>
      <c r="AQ456">
        <f t="shared" si="343"/>
        <v>1.7075333468456139E-3</v>
      </c>
      <c r="AR456">
        <f t="shared" si="344"/>
        <v>-4.132230699366386</v>
      </c>
      <c r="AT456">
        <f t="shared" si="365"/>
        <v>-533.75758122847606</v>
      </c>
      <c r="AU456">
        <f t="shared" si="366"/>
        <v>-70.359966312886939</v>
      </c>
      <c r="AV456">
        <f t="shared" si="354"/>
        <v>-3.0105282373399462</v>
      </c>
      <c r="AW456">
        <f t="shared" si="355"/>
        <v>-265.72003377496969</v>
      </c>
      <c r="AX456">
        <f t="shared" si="356"/>
        <v>-296.94110293071731</v>
      </c>
      <c r="AY456">
        <f t="shared" si="364"/>
        <v>-2.3007631060947706</v>
      </c>
      <c r="BA456">
        <f t="shared" si="345"/>
        <v>1.3510935983162207</v>
      </c>
      <c r="BB456">
        <f t="shared" si="357"/>
        <v>2.6137087246924269</v>
      </c>
      <c r="BC456">
        <f t="shared" si="358"/>
        <v>-0.7097651312451756</v>
      </c>
      <c r="BD456">
        <f t="shared" si="346"/>
        <v>-220.66654651236581</v>
      </c>
      <c r="BF456">
        <f t="shared" si="347"/>
        <v>-52.261412889474371</v>
      </c>
      <c r="BG456">
        <f t="shared" si="348"/>
        <v>-183.09668508048426</v>
      </c>
      <c r="BH456">
        <f t="shared" si="359"/>
        <v>-3.0966850804842636</v>
      </c>
      <c r="BI456">
        <f t="shared" si="360"/>
        <v>-3.0966850804842636</v>
      </c>
      <c r="BJ456">
        <f t="shared" si="349"/>
        <v>0</v>
      </c>
      <c r="BK456">
        <f t="shared" si="361"/>
        <v>0</v>
      </c>
      <c r="BM456">
        <f t="shared" si="362"/>
        <v>-54.875121614166801</v>
      </c>
      <c r="BN456">
        <f t="shared" si="350"/>
        <v>-142.43013856811845</v>
      </c>
      <c r="BQ456" s="56">
        <f t="shared" si="363"/>
        <v>19.515669524977564</v>
      </c>
    </row>
    <row r="457" spans="1:69" x14ac:dyDescent="0.2">
      <c r="A457">
        <f t="shared" si="372"/>
        <v>1215000</v>
      </c>
      <c r="B457">
        <f t="shared" si="351"/>
        <v>1215</v>
      </c>
      <c r="C457">
        <f t="shared" ref="C457:C520" si="373">SQRT((A457/Fesr)^2+1)</f>
        <v>1.2580899288000265</v>
      </c>
      <c r="D457">
        <f t="shared" ref="D457:D520" si="374">ATAN(A457/Fesr)</f>
        <v>0.65202652565209362</v>
      </c>
      <c r="F457">
        <f t="shared" ref="F457:F520" si="375">(Ro/(Ro+Rdcr))/SQRT((A457/(Q*Fo))^2+(1-(A457^2/Fo^2))^2)</f>
        <v>9.495472309289261E-5</v>
      </c>
      <c r="G457">
        <f t="shared" ref="G457:G520" si="376">-ATAN(A457*Fo/(Q*(Fo^2-A457^2)))</f>
        <v>5.6557342733692933E-3</v>
      </c>
      <c r="H457">
        <f t="shared" ref="H457:H520" si="377">IF(G457&gt;0,G457-Pi,G457)</f>
        <v>-3.135936915726631</v>
      </c>
      <c r="J457">
        <f t="shared" ref="J457:J520" si="378">Vin/Vramp</f>
        <v>15</v>
      </c>
      <c r="M457">
        <f t="shared" ref="M457:M520" si="379">1/(2*Pi*_Rfb1*(Cc1ea_u+Cc2ea_u)*A457)</f>
        <v>6.5660011458174819E-4</v>
      </c>
      <c r="N457">
        <f t="shared" ref="N457:N520" si="380">-Pi/2</f>
        <v>-1.5707963250000001</v>
      </c>
      <c r="O457">
        <f t="shared" ref="O457:O520" si="381">SQRT(1+(A457/Fz1_u)^2)</f>
        <v>137.41690112179433</v>
      </c>
      <c r="P457">
        <f t="shared" ref="P457:P520" si="382">ATAN2(Fz1_u,A457)</f>
        <v>1.5635191373215582</v>
      </c>
      <c r="Q457">
        <f t="shared" ref="Q457:Q520" si="383">SQRT(1+(A457/Fz2_u)^2)</f>
        <v>144.58969291657894</v>
      </c>
      <c r="R457">
        <f t="shared" ref="R457:R520" si="384">ATAN2(Fz2_u,A457)</f>
        <v>1.5638801493542738</v>
      </c>
      <c r="S457">
        <f t="shared" ref="S457:S520" si="385">1/SQRT(1+(A457/Fp1_u)^2)</f>
        <v>0.95721577676568403</v>
      </c>
      <c r="T457">
        <f t="shared" ref="T457:T520" si="386">-ATAN2(Fp1_u,A457)</f>
        <v>-0.29357395723254809</v>
      </c>
      <c r="U457">
        <f t="shared" ref="U457:U520" si="387">1/SQRT(1+(A457/Fp2_u)^2)</f>
        <v>0.13696595944848888</v>
      </c>
      <c r="V457">
        <f t="shared" ref="V457:V520" si="388">-ATAN2(Fp2_u,A457)</f>
        <v>-1.4333984718616515</v>
      </c>
      <c r="X457">
        <f t="shared" si="352"/>
        <v>-50.271591026754407</v>
      </c>
      <c r="Y457">
        <f t="shared" ref="Y457:Y520" si="389">(180/Pi)*(D457+H457+N457+P457+R457+T457+V457)</f>
        <v>-152.07903365470469</v>
      </c>
      <c r="Z457">
        <f t="shared" si="353"/>
        <v>27.920966345295312</v>
      </c>
      <c r="AC457">
        <v>1</v>
      </c>
      <c r="AD457">
        <f t="shared" ref="AD457:AD520" si="390">Rcea1_u*Cc1ea_u*A457*2*Pi</f>
        <v>137.41326251100003</v>
      </c>
      <c r="AE457">
        <f t="shared" ref="AE457:AE520" si="391">-Rcea1_u*Cc1ea_u*Cc2ea_u*(A457*2*Pi)^2</f>
        <v>-1.0490224841065001</v>
      </c>
      <c r="AF457">
        <f t="shared" ref="AF457:AF520" si="392">(Cc2ea_u+Cc1ea_u)*A457*2*Pi</f>
        <v>0.14504733265049999</v>
      </c>
      <c r="AG457">
        <f t="shared" si="367"/>
        <v>16.836937372401685</v>
      </c>
      <c r="AH457">
        <f t="shared" si="368"/>
        <v>-128.66369567863995</v>
      </c>
      <c r="AJ457">
        <f t="shared" ref="AJ457:AJ520" si="393">_Rfb1</f>
        <v>10500</v>
      </c>
      <c r="AK457">
        <f t="shared" ref="AK457:AK520" si="394">_Rfb1*Rcea2_u*Cc3ea_u*A457*2*Pi</f>
        <v>3174.2463640041001</v>
      </c>
      <c r="AL457">
        <v>1</v>
      </c>
      <c r="AM457">
        <f t="shared" ref="AM457:AM520" si="395">(_Rfb1+Rcea2_u)*Cc3ea_u*A457*2*Pi</f>
        <v>144.58623481407423</v>
      </c>
      <c r="AN457">
        <f t="shared" si="369"/>
        <v>22.455194871261188</v>
      </c>
      <c r="AO457">
        <f t="shared" si="370"/>
        <v>-72.465714447865537</v>
      </c>
      <c r="AQ457">
        <f t="shared" ref="AQ457:AQ520" si="396">Eadcg/(1+(Eadcg*A457/GBP)^2)</f>
        <v>1.6935084940458782E-3</v>
      </c>
      <c r="AR457">
        <f t="shared" ref="AR457:AR520" si="397">-(A457*Eadcg*Eadcg/GBP)/(1+(Eadcg*A457/GBP)^2)</f>
        <v>-4.1152256405314835</v>
      </c>
      <c r="AT457">
        <f t="shared" si="365"/>
        <v>-529.45162596582509</v>
      </c>
      <c r="AU457">
        <f t="shared" si="366"/>
        <v>-69.505689444437309</v>
      </c>
      <c r="AV457">
        <f t="shared" si="354"/>
        <v>-3.011060465519372</v>
      </c>
      <c r="AW457">
        <f t="shared" si="355"/>
        <v>-263.35542080893765</v>
      </c>
      <c r="AX457">
        <f t="shared" si="356"/>
        <v>-295.71495965435793</v>
      </c>
      <c r="AY457">
        <f t="shared" si="364"/>
        <v>-2.2983780230940964</v>
      </c>
      <c r="BA457">
        <f t="shared" ref="BA457:BA520" si="398">SQRT(AT457^2+AU457^2)/SQRT(AW457^2+AX457^2)</f>
        <v>1.3485249282598308</v>
      </c>
      <c r="BB457">
        <f t="shared" si="357"/>
        <v>2.5971795809338998</v>
      </c>
      <c r="BC457">
        <f t="shared" si="358"/>
        <v>-0.71268244242527556</v>
      </c>
      <c r="BD457">
        <f t="shared" ref="BD457:BD520" si="399">BC457*180/Pi-180</f>
        <v>-220.83369613070289</v>
      </c>
      <c r="BF457">
        <f t="shared" ref="BF457:BF520" si="400">20*LOG(BA457*J457*F457*C457)</f>
        <v>-52.336430090042818</v>
      </c>
      <c r="BG457">
        <f t="shared" ref="BG457:BG520" si="401">(180/Pi)*(D457+H457+BC457)</f>
        <v>-183.15127833328941</v>
      </c>
      <c r="BH457">
        <f t="shared" si="359"/>
        <v>-3.1512783332894116</v>
      </c>
      <c r="BI457">
        <f t="shared" si="360"/>
        <v>-3.1512783332894116</v>
      </c>
      <c r="BJ457">
        <f t="shared" ref="BJ457:BJ520" si="402">SUM((BF458&lt;0)*(BF457&gt;0))*A457</f>
        <v>0</v>
      </c>
      <c r="BK457">
        <f t="shared" si="361"/>
        <v>0</v>
      </c>
      <c r="BM457">
        <f t="shared" si="362"/>
        <v>-54.933609670976722</v>
      </c>
      <c r="BN457">
        <f t="shared" ref="BN457:BN520" si="403">(H457+D457)*180/Pi</f>
        <v>-142.31758220258655</v>
      </c>
      <c r="BQ457" s="56">
        <f t="shared" si="363"/>
        <v>19.499140381219036</v>
      </c>
    </row>
    <row r="458" spans="1:69" x14ac:dyDescent="0.2">
      <c r="A458">
        <f t="shared" si="372"/>
        <v>1220000</v>
      </c>
      <c r="B458">
        <f t="shared" ref="B458:B521" si="404">A458/1000</f>
        <v>1220</v>
      </c>
      <c r="C458">
        <f t="shared" si="373"/>
        <v>1.2599987167772837</v>
      </c>
      <c r="D458">
        <f t="shared" si="374"/>
        <v>0.65400836464021128</v>
      </c>
      <c r="F458">
        <f t="shared" si="375"/>
        <v>9.4177938312115225E-5</v>
      </c>
      <c r="G458">
        <f t="shared" si="376"/>
        <v>5.6325510633946363E-3</v>
      </c>
      <c r="H458">
        <f t="shared" si="377"/>
        <v>-3.1359600989366054</v>
      </c>
      <c r="J458">
        <f t="shared" si="378"/>
        <v>15</v>
      </c>
      <c r="M458">
        <f t="shared" si="379"/>
        <v>6.5390913050559346E-4</v>
      </c>
      <c r="N458">
        <f t="shared" si="380"/>
        <v>-1.5707963250000001</v>
      </c>
      <c r="O458">
        <f t="shared" si="381"/>
        <v>137.98237288684743</v>
      </c>
      <c r="P458">
        <f t="shared" si="382"/>
        <v>1.5635489608220998</v>
      </c>
      <c r="Q458">
        <f t="shared" si="383"/>
        <v>145.18468382590399</v>
      </c>
      <c r="R458">
        <f t="shared" si="384"/>
        <v>1.5639084934454486</v>
      </c>
      <c r="S458">
        <f t="shared" si="385"/>
        <v>0.95688541198063892</v>
      </c>
      <c r="T458">
        <f t="shared" si="386"/>
        <v>-0.29471345881806182</v>
      </c>
      <c r="U458">
        <f t="shared" si="387"/>
        <v>0.13641509058416482</v>
      </c>
      <c r="V458">
        <f t="shared" si="388"/>
        <v>-1.433954560290799</v>
      </c>
      <c r="X458">
        <f t="shared" ref="X458:X521" si="405">20*LOG(C458*J458*O458*Q458*F458*M458*S458*U458)</f>
        <v>-50.332105919870784</v>
      </c>
      <c r="Y458">
        <f t="shared" si="389"/>
        <v>-152.06062833919194</v>
      </c>
      <c r="Z458">
        <f t="shared" ref="Z458:Z521" si="406">Y458+180</f>
        <v>27.939371660808064</v>
      </c>
      <c r="AC458">
        <v>1</v>
      </c>
      <c r="AD458">
        <f t="shared" si="390"/>
        <v>137.97874918800002</v>
      </c>
      <c r="AE458">
        <f t="shared" si="391"/>
        <v>-1.0576741793047231</v>
      </c>
      <c r="AF458">
        <f t="shared" si="392"/>
        <v>0.145644235254</v>
      </c>
      <c r="AG458">
        <f t="shared" si="367"/>
        <v>16.701775424553535</v>
      </c>
      <c r="AH458">
        <f t="shared" si="368"/>
        <v>-128.15499757024426</v>
      </c>
      <c r="AJ458">
        <f t="shared" si="393"/>
        <v>10500</v>
      </c>
      <c r="AK458">
        <f t="shared" si="394"/>
        <v>3187.3091062428002</v>
      </c>
      <c r="AL458">
        <v>1</v>
      </c>
      <c r="AM458">
        <f t="shared" si="395"/>
        <v>145.18123989561363</v>
      </c>
      <c r="AN458">
        <f t="shared" si="369"/>
        <v>22.451095338754609</v>
      </c>
      <c r="AO458">
        <f t="shared" si="370"/>
        <v>-72.168752052225742</v>
      </c>
      <c r="AQ458">
        <f t="shared" si="396"/>
        <v>1.6796557243254965E-3</v>
      </c>
      <c r="AR458">
        <f t="shared" si="397"/>
        <v>-4.0983599673542113</v>
      </c>
      <c r="AT458">
        <f t="shared" si="365"/>
        <v>-525.19725842556716</v>
      </c>
      <c r="AU458">
        <f t="shared" si="366"/>
        <v>-68.665144059000369</v>
      </c>
      <c r="AV458">
        <f t="shared" ref="AV458:AV521" si="407">ATAN2(AT458,AU458)</f>
        <v>-3.0115884170158647</v>
      </c>
      <c r="AW458">
        <f t="shared" ref="AW458:AW521" si="408">AG458-AH458*AO458/_Rfb2+AG458*AN458/_Rfb2+AN458-AO458*AR458+AQ458*AN458</f>
        <v>-261.01984997640153</v>
      </c>
      <c r="AX458">
        <f t="shared" ref="AX458:AX521" si="409">AH458+AH458*AN458/_Rfb2+AG458*AO458/_Rfb2+AO458+AO458*AQ458+AN458*AR458</f>
        <v>-294.49892181859354</v>
      </c>
      <c r="AY458">
        <f t="shared" si="364"/>
        <v>-2.2960009750185009</v>
      </c>
      <c r="BA458">
        <f t="shared" si="398"/>
        <v>1.3459591066359353</v>
      </c>
      <c r="BB458">
        <f t="shared" ref="BB458:BB521" si="410">20*LOG(BA458)</f>
        <v>2.5806373042651276</v>
      </c>
      <c r="BC458">
        <f t="shared" ref="BC458:BC521" si="411">AV458-AY458</f>
        <v>-0.71558744199736379</v>
      </c>
      <c r="BD458">
        <f t="shared" si="399"/>
        <v>-221.00014034586104</v>
      </c>
      <c r="BF458">
        <f t="shared" si="400"/>
        <v>-52.411151880409584</v>
      </c>
      <c r="BG458">
        <f t="shared" si="401"/>
        <v>-183.2054998387128</v>
      </c>
      <c r="BH458">
        <f t="shared" ref="BH458:BH521" si="412">IF(BG458&gt;180,BG458-180,BG458+180)</f>
        <v>-3.2054998387127966</v>
      </c>
      <c r="BI458">
        <f t="shared" ref="BI458:BI521" si="413">IF(BH458&gt;180,BH458-360,BH458)</f>
        <v>-3.2054998387127966</v>
      </c>
      <c r="BJ458">
        <f t="shared" si="402"/>
        <v>0</v>
      </c>
      <c r="BK458">
        <f t="shared" ref="BK458:BK521" si="414">IF(BJ458&gt;0,BI458,0)</f>
        <v>0</v>
      </c>
      <c r="BM458">
        <f t="shared" ref="BM458:BM521" si="415">20*LOG(J458*F458*C458)</f>
        <v>-54.991789184674708</v>
      </c>
      <c r="BN458">
        <f t="shared" si="403"/>
        <v>-142.20535949285178</v>
      </c>
      <c r="BQ458" s="56">
        <f t="shared" ref="BQ458:BQ521" si="416">20*LOG(BA458*7)</f>
        <v>19.482598104550267</v>
      </c>
    </row>
    <row r="459" spans="1:69" x14ac:dyDescent="0.2">
      <c r="A459">
        <f t="shared" si="372"/>
        <v>1225000</v>
      </c>
      <c r="B459">
        <f t="shared" si="404"/>
        <v>1225</v>
      </c>
      <c r="C459">
        <f t="shared" si="373"/>
        <v>1.2619124386507587</v>
      </c>
      <c r="D459">
        <f t="shared" si="374"/>
        <v>0.65598420035211447</v>
      </c>
      <c r="F459">
        <f t="shared" si="375"/>
        <v>9.3410646765680348E-5</v>
      </c>
      <c r="G459">
        <f t="shared" si="376"/>
        <v>5.6095571524473753E-3</v>
      </c>
      <c r="H459">
        <f t="shared" si="377"/>
        <v>-3.1359830928475527</v>
      </c>
      <c r="J459">
        <f t="shared" si="378"/>
        <v>15</v>
      </c>
      <c r="M459">
        <f t="shared" si="379"/>
        <v>6.5124011364638698E-4</v>
      </c>
      <c r="N459">
        <f t="shared" si="380"/>
        <v>-1.5707963250000001</v>
      </c>
      <c r="O459">
        <f t="shared" si="381"/>
        <v>138.54784477362594</v>
      </c>
      <c r="P459">
        <f t="shared" si="382"/>
        <v>1.5635785408782292</v>
      </c>
      <c r="Q459">
        <f t="shared" si="383"/>
        <v>145.77967485091645</v>
      </c>
      <c r="R459">
        <f t="shared" si="384"/>
        <v>1.5639366061672195</v>
      </c>
      <c r="S459">
        <f t="shared" si="385"/>
        <v>0.95655403439050157</v>
      </c>
      <c r="T459">
        <f t="shared" si="386"/>
        <v>-0.29585217264304131</v>
      </c>
      <c r="U459">
        <f t="shared" si="387"/>
        <v>0.13586859358084952</v>
      </c>
      <c r="V459">
        <f t="shared" si="388"/>
        <v>-1.4345061933609207</v>
      </c>
      <c r="X459">
        <f t="shared" si="405"/>
        <v>-50.392333159576161</v>
      </c>
      <c r="Y459">
        <f t="shared" si="389"/>
        <v>-152.04228293623979</v>
      </c>
      <c r="Z459">
        <f t="shared" si="406"/>
        <v>27.957717063760214</v>
      </c>
      <c r="AC459">
        <v>1</v>
      </c>
      <c r="AD459">
        <f t="shared" si="390"/>
        <v>138.54423586500002</v>
      </c>
      <c r="AE459">
        <f t="shared" si="391"/>
        <v>-1.0663614050787087</v>
      </c>
      <c r="AF459">
        <f t="shared" si="392"/>
        <v>0.14624113785749998</v>
      </c>
      <c r="AG459">
        <f t="shared" si="367"/>
        <v>16.568224403907841</v>
      </c>
      <c r="AH459">
        <f t="shared" si="368"/>
        <v>-127.65023117640588</v>
      </c>
      <c r="AJ459">
        <f t="shared" si="393"/>
        <v>10500</v>
      </c>
      <c r="AK459">
        <f t="shared" si="394"/>
        <v>3200.3718484815004</v>
      </c>
      <c r="AL459">
        <v>1</v>
      </c>
      <c r="AM459">
        <f t="shared" si="395"/>
        <v>145.776244977153</v>
      </c>
      <c r="AN459">
        <f t="shared" si="369"/>
        <v>22.447045898940036</v>
      </c>
      <c r="AO459">
        <f t="shared" si="370"/>
        <v>-71.874213495780268</v>
      </c>
      <c r="AQ459">
        <f t="shared" si="396"/>
        <v>1.6659722339071664E-3</v>
      </c>
      <c r="AR459">
        <f t="shared" si="397"/>
        <v>-4.0816319730725574</v>
      </c>
      <c r="AT459">
        <f t="shared" si="365"/>
        <v>-520.99366273789951</v>
      </c>
      <c r="AU459">
        <f t="shared" si="366"/>
        <v>-67.838056204822976</v>
      </c>
      <c r="AV459">
        <f t="shared" si="407"/>
        <v>-3.0121121428298445</v>
      </c>
      <c r="AW459">
        <f t="shared" si="408"/>
        <v>-258.71284752312118</v>
      </c>
      <c r="AX459">
        <f t="shared" si="409"/>
        <v>-293.29286470648469</v>
      </c>
      <c r="AY459">
        <f t="shared" ref="AY459:AY522" si="417">ATAN2(AW459,AX459)</f>
        <v>-2.293631932600916</v>
      </c>
      <c r="BA459">
        <f t="shared" si="398"/>
        <v>1.3433962041499314</v>
      </c>
      <c r="BB459">
        <f t="shared" si="410"/>
        <v>2.5640823367632604</v>
      </c>
      <c r="BC459">
        <f t="shared" si="411"/>
        <v>-0.7184802102289285</v>
      </c>
      <c r="BD459">
        <f t="shared" si="399"/>
        <v>-221.16588375682861</v>
      </c>
      <c r="BF459">
        <f t="shared" si="400"/>
        <v>-52.485580475967907</v>
      </c>
      <c r="BG459">
        <f t="shared" si="401"/>
        <v>-183.25935365630102</v>
      </c>
      <c r="BH459">
        <f t="shared" si="412"/>
        <v>-3.2593536563010161</v>
      </c>
      <c r="BI459">
        <f t="shared" si="413"/>
        <v>-3.2593536563010161</v>
      </c>
      <c r="BJ459">
        <f t="shared" si="402"/>
        <v>0</v>
      </c>
      <c r="BK459">
        <f t="shared" si="414"/>
        <v>0</v>
      </c>
      <c r="BM459">
        <f t="shared" si="415"/>
        <v>-55.049662812731164</v>
      </c>
      <c r="BN459">
        <f t="shared" si="403"/>
        <v>-142.09346989947244</v>
      </c>
      <c r="BQ459" s="56">
        <f t="shared" si="416"/>
        <v>19.466043137048395</v>
      </c>
    </row>
    <row r="460" spans="1:69" x14ac:dyDescent="0.2">
      <c r="A460">
        <f t="shared" si="372"/>
        <v>1230000</v>
      </c>
      <c r="B460">
        <f t="shared" si="404"/>
        <v>1230</v>
      </c>
      <c r="C460">
        <f t="shared" si="373"/>
        <v>1.2638310720073964</v>
      </c>
      <c r="D460">
        <f t="shared" si="374"/>
        <v>0.65795404466666962</v>
      </c>
      <c r="F460">
        <f t="shared" si="375"/>
        <v>9.2652694385886539E-5</v>
      </c>
      <c r="G460">
        <f t="shared" si="376"/>
        <v>5.5867502312215624E-3</v>
      </c>
      <c r="H460">
        <f t="shared" si="377"/>
        <v>-3.1360058997687785</v>
      </c>
      <c r="J460">
        <f t="shared" si="378"/>
        <v>15</v>
      </c>
      <c r="M460">
        <f t="shared" si="379"/>
        <v>6.4859279611123903E-4</v>
      </c>
      <c r="N460">
        <f t="shared" si="380"/>
        <v>-1.5707963250000001</v>
      </c>
      <c r="O460">
        <f t="shared" si="381"/>
        <v>139.11331678064548</v>
      </c>
      <c r="P460">
        <f t="shared" si="382"/>
        <v>1.5636078804585751</v>
      </c>
      <c r="Q460">
        <f t="shared" si="383"/>
        <v>146.37466599020564</v>
      </c>
      <c r="R460">
        <f t="shared" si="384"/>
        <v>1.5639644903409879</v>
      </c>
      <c r="S460">
        <f t="shared" si="385"/>
        <v>0.9562216476239116</v>
      </c>
      <c r="T460">
        <f t="shared" si="386"/>
        <v>-0.29699009657409364</v>
      </c>
      <c r="U460">
        <f t="shared" si="387"/>
        <v>0.13532641709730783</v>
      </c>
      <c r="V460">
        <f t="shared" si="388"/>
        <v>-1.4350534240708961</v>
      </c>
      <c r="X460">
        <f t="shared" si="405"/>
        <v>-50.45227522165775</v>
      </c>
      <c r="Y460">
        <f t="shared" si="389"/>
        <v>-152.02399948018606</v>
      </c>
      <c r="Z460">
        <f t="shared" si="406"/>
        <v>27.976000519813937</v>
      </c>
      <c r="AC460">
        <v>1</v>
      </c>
      <c r="AD460">
        <f t="shared" si="390"/>
        <v>139.10972254200001</v>
      </c>
      <c r="AE460">
        <f t="shared" si="391"/>
        <v>-1.0750841614284572</v>
      </c>
      <c r="AF460">
        <f t="shared" si="392"/>
        <v>0.14683804046099999</v>
      </c>
      <c r="AG460">
        <f t="shared" si="367"/>
        <v>16.436258973029979</v>
      </c>
      <c r="AH460">
        <f t="shared" si="368"/>
        <v>-127.14935201004481</v>
      </c>
      <c r="AJ460">
        <f t="shared" si="393"/>
        <v>10500</v>
      </c>
      <c r="AK460">
        <f t="shared" si="394"/>
        <v>3213.4345907202005</v>
      </c>
      <c r="AL460">
        <v>1</v>
      </c>
      <c r="AM460">
        <f t="shared" si="395"/>
        <v>146.37125005869243</v>
      </c>
      <c r="AN460">
        <f t="shared" si="369"/>
        <v>22.443045739023415</v>
      </c>
      <c r="AO460">
        <f t="shared" si="370"/>
        <v>-71.582069225067428</v>
      </c>
      <c r="AQ460">
        <f t="shared" si="396"/>
        <v>1.6524552758848444E-3</v>
      </c>
      <c r="AR460">
        <f t="shared" si="397"/>
        <v>-4.0650399786767171</v>
      </c>
      <c r="AT460">
        <f t="shared" si="365"/>
        <v>-516.84003900081507</v>
      </c>
      <c r="AU460">
        <f t="shared" si="366"/>
        <v>-67.024158442805131</v>
      </c>
      <c r="AV460">
        <f t="shared" si="407"/>
        <v>-3.0126316931594648</v>
      </c>
      <c r="AW460">
        <f t="shared" si="408"/>
        <v>-256.43394931770928</v>
      </c>
      <c r="AX460">
        <f t="shared" si="409"/>
        <v>-292.09666565069085</v>
      </c>
      <c r="AY460">
        <f t="shared" si="417"/>
        <v>-2.2912708665249157</v>
      </c>
      <c r="BA460">
        <f t="shared" si="398"/>
        <v>1.3408362900122819</v>
      </c>
      <c r="BB460">
        <f t="shared" si="410"/>
        <v>2.5475151143099293</v>
      </c>
      <c r="BC460">
        <f t="shared" si="411"/>
        <v>-0.72136082663454903</v>
      </c>
      <c r="BD460">
        <f t="shared" si="399"/>
        <v>-221.3309309194554</v>
      </c>
      <c r="BF460">
        <f t="shared" si="400"/>
        <v>-52.559718067133041</v>
      </c>
      <c r="BG460">
        <f t="shared" si="401"/>
        <v>-183.31284379360844</v>
      </c>
      <c r="BH460">
        <f t="shared" si="412"/>
        <v>-3.3128437936084367</v>
      </c>
      <c r="BI460">
        <f t="shared" si="413"/>
        <v>-3.3128437936084367</v>
      </c>
      <c r="BJ460">
        <f t="shared" si="402"/>
        <v>0</v>
      </c>
      <c r="BK460">
        <f t="shared" si="414"/>
        <v>0</v>
      </c>
      <c r="BM460">
        <f t="shared" si="415"/>
        <v>-55.107233181442965</v>
      </c>
      <c r="BN460">
        <f t="shared" si="403"/>
        <v>-141.98191287415304</v>
      </c>
      <c r="BQ460" s="56">
        <f t="shared" si="416"/>
        <v>19.449475914595066</v>
      </c>
    </row>
    <row r="461" spans="1:69" x14ac:dyDescent="0.2">
      <c r="A461">
        <f t="shared" si="372"/>
        <v>1235000</v>
      </c>
      <c r="B461">
        <f t="shared" si="404"/>
        <v>1235</v>
      </c>
      <c r="C461">
        <f t="shared" si="373"/>
        <v>1.2657545945126891</v>
      </c>
      <c r="D461">
        <f t="shared" si="374"/>
        <v>0.65991790957679841</v>
      </c>
      <c r="F461">
        <f t="shared" si="375"/>
        <v>9.190393021797565E-5</v>
      </c>
      <c r="G461">
        <f t="shared" si="376"/>
        <v>5.5641280278246408E-3</v>
      </c>
      <c r="H461">
        <f t="shared" si="377"/>
        <v>-3.1360285219721757</v>
      </c>
      <c r="J461">
        <f t="shared" si="378"/>
        <v>15</v>
      </c>
      <c r="M461">
        <f t="shared" si="379"/>
        <v>6.4596691434560649E-4</v>
      </c>
      <c r="N461">
        <f t="shared" si="380"/>
        <v>-1.5707963250000001</v>
      </c>
      <c r="O461">
        <f t="shared" si="381"/>
        <v>139.6787889064457</v>
      </c>
      <c r="P461">
        <f t="shared" si="382"/>
        <v>1.5636369824836949</v>
      </c>
      <c r="Q461">
        <f t="shared" si="383"/>
        <v>146.96965724238356</v>
      </c>
      <c r="R461">
        <f t="shared" si="384"/>
        <v>1.5639921487424686</v>
      </c>
      <c r="S461">
        <f t="shared" si="385"/>
        <v>0.95588825531355315</v>
      </c>
      <c r="T461">
        <f t="shared" si="386"/>
        <v>-0.29812722848896717</v>
      </c>
      <c r="U461">
        <f t="shared" si="387"/>
        <v>0.13478851058511254</v>
      </c>
      <c r="V461">
        <f t="shared" si="388"/>
        <v>-1.4355963045875908</v>
      </c>
      <c r="X461">
        <f t="shared" si="405"/>
        <v>-50.511934553705267</v>
      </c>
      <c r="Y461">
        <f t="shared" si="389"/>
        <v>-152.00577995502977</v>
      </c>
      <c r="Z461">
        <f t="shared" si="406"/>
        <v>27.994220044970234</v>
      </c>
      <c r="AC461">
        <v>1</v>
      </c>
      <c r="AD461">
        <f t="shared" si="390"/>
        <v>139.67520921900001</v>
      </c>
      <c r="AE461">
        <f t="shared" si="391"/>
        <v>-1.0838424483539681</v>
      </c>
      <c r="AF461">
        <f t="shared" si="392"/>
        <v>0.14743494306449997</v>
      </c>
      <c r="AG461">
        <f t="shared" si="367"/>
        <v>16.305854287490209</v>
      </c>
      <c r="AH461">
        <f t="shared" si="368"/>
        <v>-126.65231623745647</v>
      </c>
      <c r="AJ461">
        <f t="shared" si="393"/>
        <v>10500</v>
      </c>
      <c r="AK461">
        <f t="shared" si="394"/>
        <v>3226.4973329589006</v>
      </c>
      <c r="AL461">
        <v>1</v>
      </c>
      <c r="AM461">
        <f t="shared" si="395"/>
        <v>146.96625514023182</v>
      </c>
      <c r="AN461">
        <f t="shared" si="369"/>
        <v>22.439094062629124</v>
      </c>
      <c r="AO461">
        <f t="shared" si="370"/>
        <v>-71.292290165112547</v>
      </c>
      <c r="AQ461">
        <f t="shared" si="396"/>
        <v>1.6391021588450625E-3</v>
      </c>
      <c r="AR461">
        <f t="shared" si="397"/>
        <v>-4.048582332347304</v>
      </c>
      <c r="AT461">
        <f t="shared" si="365"/>
        <v>-512.73560290886542</v>
      </c>
      <c r="AU461">
        <f t="shared" si="366"/>
        <v>-66.223189667129944</v>
      </c>
      <c r="AV461">
        <f t="shared" si="407"/>
        <v>-3.0131471174162141</v>
      </c>
      <c r="AW461">
        <f t="shared" si="408"/>
        <v>-254.18270061799015</v>
      </c>
      <c r="AX461">
        <f t="shared" si="409"/>
        <v>-290.91020399140518</v>
      </c>
      <c r="AY461">
        <f t="shared" si="417"/>
        <v>-2.2889177474285258</v>
      </c>
      <c r="BA461">
        <f t="shared" si="398"/>
        <v>1.3382794319632119</v>
      </c>
      <c r="BB461">
        <f t="shared" si="410"/>
        <v>2.5309360666824627</v>
      </c>
      <c r="BC461">
        <f t="shared" si="411"/>
        <v>-0.72422936998768828</v>
      </c>
      <c r="BD461">
        <f t="shared" si="399"/>
        <v>-221.4952863471284</v>
      </c>
      <c r="BF461">
        <f t="shared" si="400"/>
        <v>-52.633566819731435</v>
      </c>
      <c r="BG461">
        <f t="shared" si="401"/>
        <v>-183.36597420704805</v>
      </c>
      <c r="BH461">
        <f t="shared" si="412"/>
        <v>-3.3659742070480547</v>
      </c>
      <c r="BI461">
        <f t="shared" si="413"/>
        <v>-3.3659742070480547</v>
      </c>
      <c r="BJ461">
        <f t="shared" si="402"/>
        <v>0</v>
      </c>
      <c r="BK461">
        <f t="shared" si="414"/>
        <v>0</v>
      </c>
      <c r="BM461">
        <f t="shared" si="415"/>
        <v>-55.164502886413899</v>
      </c>
      <c r="BN461">
        <f t="shared" si="403"/>
        <v>-141.87068785991968</v>
      </c>
      <c r="BQ461" s="56">
        <f t="shared" si="416"/>
        <v>19.432896866967599</v>
      </c>
    </row>
    <row r="462" spans="1:69" x14ac:dyDescent="0.2">
      <c r="A462">
        <f t="shared" si="372"/>
        <v>1240000</v>
      </c>
      <c r="B462">
        <f t="shared" si="404"/>
        <v>1240</v>
      </c>
      <c r="C462">
        <f t="shared" si="373"/>
        <v>1.2676829839109447</v>
      </c>
      <c r="D462">
        <f t="shared" si="374"/>
        <v>0.66187580718721506</v>
      </c>
      <c r="F462">
        <f t="shared" si="375"/>
        <v>9.1164206344958071E-5</v>
      </c>
      <c r="G462">
        <f t="shared" si="376"/>
        <v>5.5416883070227574E-3</v>
      </c>
      <c r="H462">
        <f t="shared" si="377"/>
        <v>-3.1360509616929773</v>
      </c>
      <c r="J462">
        <f t="shared" si="378"/>
        <v>15</v>
      </c>
      <c r="M462">
        <f t="shared" si="379"/>
        <v>6.4336220904582587E-4</v>
      </c>
      <c r="N462">
        <f t="shared" si="380"/>
        <v>-1.5707963250000001</v>
      </c>
      <c r="O462">
        <f t="shared" si="381"/>
        <v>140.24426114958979</v>
      </c>
      <c r="P462">
        <f t="shared" si="382"/>
        <v>1.5636658498270446</v>
      </c>
      <c r="Q462">
        <f t="shared" si="383"/>
        <v>147.56464860608477</v>
      </c>
      <c r="R462">
        <f t="shared" si="384"/>
        <v>1.564019584102609</v>
      </c>
      <c r="S462">
        <f t="shared" si="385"/>
        <v>0.95555386109606044</v>
      </c>
      <c r="T462">
        <f t="shared" si="386"/>
        <v>-0.29926356627655654</v>
      </c>
      <c r="U462">
        <f t="shared" si="387"/>
        <v>0.13425482427355953</v>
      </c>
      <c r="V462">
        <f t="shared" si="388"/>
        <v>-1.4361348862620134</v>
      </c>
      <c r="X462">
        <f t="shared" si="405"/>
        <v>-50.571313575522446</v>
      </c>
      <c r="Y462">
        <f t="shared" si="389"/>
        <v>-151.98762629542128</v>
      </c>
      <c r="Z462">
        <f t="shared" si="406"/>
        <v>28.012373704578721</v>
      </c>
      <c r="AC462">
        <v>1</v>
      </c>
      <c r="AD462">
        <f t="shared" si="390"/>
        <v>140.24069589600001</v>
      </c>
      <c r="AE462">
        <f t="shared" si="391"/>
        <v>-1.092636265855242</v>
      </c>
      <c r="AF462">
        <f t="shared" si="392"/>
        <v>0.14803184566799998</v>
      </c>
      <c r="AG462">
        <f t="shared" si="367"/>
        <v>16.176985984472807</v>
      </c>
      <c r="AH462">
        <f t="shared" si="368"/>
        <v>-126.1590806666815</v>
      </c>
      <c r="AJ462">
        <f t="shared" si="393"/>
        <v>10500</v>
      </c>
      <c r="AK462">
        <f t="shared" si="394"/>
        <v>3239.5600751976003</v>
      </c>
      <c r="AL462">
        <v>1</v>
      </c>
      <c r="AM462">
        <f t="shared" si="395"/>
        <v>147.56126022177122</v>
      </c>
      <c r="AN462">
        <f t="shared" si="369"/>
        <v>22.435190089403577</v>
      </c>
      <c r="AO462">
        <f t="shared" si="370"/>
        <v>-71.00484770978349</v>
      </c>
      <c r="AQ462">
        <f t="shared" si="396"/>
        <v>1.6259102455270802E-3</v>
      </c>
      <c r="AR462">
        <f t="shared" si="397"/>
        <v>-4.0322574089071592</v>
      </c>
      <c r="AT462">
        <f t="shared" si="365"/>
        <v>-508.67958539188851</v>
      </c>
      <c r="AU462">
        <f t="shared" si="366"/>
        <v>-65.434894931499983</v>
      </c>
      <c r="AV462">
        <f t="shared" si="407"/>
        <v>-3.013658464240164</v>
      </c>
      <c r="AW462">
        <f t="shared" si="408"/>
        <v>-251.95865584395031</v>
      </c>
      <c r="AX462">
        <f t="shared" si="409"/>
        <v>-289.73336103532256</v>
      </c>
      <c r="AY462">
        <f t="shared" si="417"/>
        <v>-2.2865725459079673</v>
      </c>
      <c r="BA462">
        <f t="shared" si="398"/>
        <v>1.3357256962969799</v>
      </c>
      <c r="BB462">
        <f t="shared" si="410"/>
        <v>2.5143456176433547</v>
      </c>
      <c r="BC462">
        <f t="shared" si="411"/>
        <v>-0.72708591833219671</v>
      </c>
      <c r="BD462">
        <f t="shared" si="399"/>
        <v>-221.65895451143081</v>
      </c>
      <c r="BF462">
        <f t="shared" si="400"/>
        <v>-52.707128875382274</v>
      </c>
      <c r="BG462">
        <f t="shared" si="401"/>
        <v>-183.41874880272351</v>
      </c>
      <c r="BH462">
        <f t="shared" si="412"/>
        <v>-3.4187488027235133</v>
      </c>
      <c r="BI462">
        <f t="shared" si="413"/>
        <v>-3.4187488027235133</v>
      </c>
      <c r="BJ462">
        <f t="shared" si="402"/>
        <v>0</v>
      </c>
      <c r="BK462">
        <f t="shared" si="414"/>
        <v>0</v>
      </c>
      <c r="BM462">
        <f t="shared" si="415"/>
        <v>-55.221474493025639</v>
      </c>
      <c r="BN462">
        <f t="shared" si="403"/>
        <v>-141.75979429129274</v>
      </c>
      <c r="BQ462" s="56">
        <f t="shared" si="416"/>
        <v>19.416306417928492</v>
      </c>
    </row>
    <row r="463" spans="1:69" x14ac:dyDescent="0.2">
      <c r="A463">
        <f t="shared" si="372"/>
        <v>1245000</v>
      </c>
      <c r="B463">
        <f t="shared" si="404"/>
        <v>1245</v>
      </c>
      <c r="C463">
        <f t="shared" si="373"/>
        <v>1.2696162180255448</v>
      </c>
      <c r="D463">
        <f t="shared" si="374"/>
        <v>0.66382774971218317</v>
      </c>
      <c r="F463">
        <f t="shared" si="375"/>
        <v>9.0433377814547937E-5</v>
      </c>
      <c r="G463">
        <f t="shared" si="376"/>
        <v>5.5194288695042818E-3</v>
      </c>
      <c r="H463">
        <f t="shared" si="377"/>
        <v>-3.1360732211304958</v>
      </c>
      <c r="J463">
        <f t="shared" si="378"/>
        <v>15</v>
      </c>
      <c r="M463">
        <f t="shared" si="379"/>
        <v>6.4077842507375424E-4</v>
      </c>
      <c r="N463">
        <f t="shared" si="380"/>
        <v>-1.5707963250000001</v>
      </c>
      <c r="O463">
        <f t="shared" si="381"/>
        <v>140.80973350866412</v>
      </c>
      <c r="P463">
        <f t="shared" si="382"/>
        <v>1.5636944853159243</v>
      </c>
      <c r="Q463">
        <f t="shared" si="383"/>
        <v>148.15964007996561</v>
      </c>
      <c r="R463">
        <f t="shared" si="384"/>
        <v>1.5640467991084905</v>
      </c>
      <c r="S463">
        <f t="shared" si="385"/>
        <v>0.95521846861192217</v>
      </c>
      <c r="T463">
        <f t="shared" si="386"/>
        <v>-0.30039910783690732</v>
      </c>
      <c r="U463">
        <f t="shared" si="387"/>
        <v>0.13372530915492228</v>
      </c>
      <c r="V463">
        <f t="shared" si="388"/>
        <v>-1.4366692196451036</v>
      </c>
      <c r="X463">
        <f t="shared" si="405"/>
        <v>-50.630414679530986</v>
      </c>
      <c r="Y463">
        <f t="shared" si="389"/>
        <v>-151.96954038763221</v>
      </c>
      <c r="Z463">
        <f t="shared" si="406"/>
        <v>28.030459612367792</v>
      </c>
      <c r="AC463">
        <v>1</v>
      </c>
      <c r="AD463">
        <f t="shared" si="390"/>
        <v>140.806182573</v>
      </c>
      <c r="AE463">
        <f t="shared" si="391"/>
        <v>-1.1014656139322787</v>
      </c>
      <c r="AF463">
        <f t="shared" si="392"/>
        <v>0.14862874827149999</v>
      </c>
      <c r="AG463">
        <f t="shared" si="367"/>
        <v>16.049630171689103</v>
      </c>
      <c r="AH463">
        <f t="shared" si="368"/>
        <v>-125.66960273611581</v>
      </c>
      <c r="AJ463">
        <f t="shared" si="393"/>
        <v>10500</v>
      </c>
      <c r="AK463">
        <f t="shared" si="394"/>
        <v>3252.6228174363005</v>
      </c>
      <c r="AL463">
        <v>1</v>
      </c>
      <c r="AM463">
        <f t="shared" si="395"/>
        <v>148.15626530331062</v>
      </c>
      <c r="AN463">
        <f t="shared" si="369"/>
        <v>22.431333054629974</v>
      </c>
      <c r="AO463">
        <f t="shared" si="370"/>
        <v>-70.719713712378834</v>
      </c>
      <c r="AQ463">
        <f t="shared" si="396"/>
        <v>1.6128769515206284E-3</v>
      </c>
      <c r="AR463">
        <f t="shared" si="397"/>
        <v>-4.0160636092863644</v>
      </c>
      <c r="AT463">
        <f t="shared" si="365"/>
        <v>-504.67123226340448</v>
      </c>
      <c r="AU463">
        <f t="shared" si="366"/>
        <v>-64.659025280784903</v>
      </c>
      <c r="AV463">
        <f t="shared" si="407"/>
        <v>-3.014165781514861</v>
      </c>
      <c r="AW463">
        <f t="shared" si="408"/>
        <v>-249.76137835707061</v>
      </c>
      <c r="AX463">
        <f t="shared" si="409"/>
        <v>-288.56602001561538</v>
      </c>
      <c r="AY463">
        <f t="shared" si="417"/>
        <v>-2.2842352325213224</v>
      </c>
      <c r="BA463">
        <f t="shared" si="398"/>
        <v>1.3331751478857268</v>
      </c>
      <c r="BB463">
        <f t="shared" si="410"/>
        <v>2.4977441850280115</v>
      </c>
      <c r="BC463">
        <f t="shared" si="411"/>
        <v>-0.7299305489935386</v>
      </c>
      <c r="BD463">
        <f t="shared" si="399"/>
        <v>-221.82193984278547</v>
      </c>
      <c r="BF463">
        <f t="shared" si="400"/>
        <v>-52.780406351871392</v>
      </c>
      <c r="BG463">
        <f t="shared" si="401"/>
        <v>-183.47117143724319</v>
      </c>
      <c r="BH463">
        <f t="shared" si="412"/>
        <v>-3.4711714372431857</v>
      </c>
      <c r="BI463">
        <f t="shared" si="413"/>
        <v>-3.4711714372431857</v>
      </c>
      <c r="BJ463">
        <f t="shared" si="402"/>
        <v>0</v>
      </c>
      <c r="BK463">
        <f t="shared" si="414"/>
        <v>0</v>
      </c>
      <c r="BM463">
        <f t="shared" si="415"/>
        <v>-55.278150536899403</v>
      </c>
      <c r="BN463">
        <f t="shared" si="403"/>
        <v>-141.64923159445772</v>
      </c>
      <c r="BQ463" s="56">
        <f t="shared" si="416"/>
        <v>19.399704985313146</v>
      </c>
    </row>
    <row r="464" spans="1:69" x14ac:dyDescent="0.2">
      <c r="A464">
        <f t="shared" si="372"/>
        <v>1250000</v>
      </c>
      <c r="B464">
        <f t="shared" si="404"/>
        <v>1250</v>
      </c>
      <c r="C464">
        <f t="shared" si="373"/>
        <v>1.2715542747591928</v>
      </c>
      <c r="D464">
        <f t="shared" si="374"/>
        <v>0.66577374947329426</v>
      </c>
      <c r="F464">
        <f t="shared" si="375"/>
        <v>8.9711302568139782E-5</v>
      </c>
      <c r="G464">
        <f t="shared" si="376"/>
        <v>5.4973475511610132E-3</v>
      </c>
      <c r="H464">
        <f t="shared" si="377"/>
        <v>-3.1360953024488394</v>
      </c>
      <c r="J464">
        <f t="shared" si="378"/>
        <v>15</v>
      </c>
      <c r="M464">
        <f t="shared" si="379"/>
        <v>6.3821531137345927E-4</v>
      </c>
      <c r="N464">
        <f t="shared" si="380"/>
        <v>-1.5707963250000001</v>
      </c>
      <c r="O464">
        <f t="shared" si="381"/>
        <v>141.37520598227752</v>
      </c>
      <c r="P464">
        <f t="shared" si="382"/>
        <v>1.5637228917324009</v>
      </c>
      <c r="Q464">
        <f t="shared" si="383"/>
        <v>148.75463166270404</v>
      </c>
      <c r="R464">
        <f t="shared" si="384"/>
        <v>1.5640737964042037</v>
      </c>
      <c r="S464">
        <f t="shared" si="385"/>
        <v>0.95488208150538856</v>
      </c>
      <c r="T464">
        <f t="shared" si="386"/>
        <v>-0.30153385108122049</v>
      </c>
      <c r="U464">
        <f t="shared" si="387"/>
        <v>0.13319991697003697</v>
      </c>
      <c r="V464">
        <f t="shared" si="388"/>
        <v>-1.4371993545031547</v>
      </c>
      <c r="X464">
        <f t="shared" si="405"/>
        <v>-50.689240231167041</v>
      </c>
      <c r="Y464">
        <f t="shared" si="389"/>
        <v>-151.95152407050509</v>
      </c>
      <c r="Z464">
        <f t="shared" si="406"/>
        <v>28.048475929494913</v>
      </c>
      <c r="AC464">
        <v>1</v>
      </c>
      <c r="AD464">
        <f t="shared" si="390"/>
        <v>141.37166925</v>
      </c>
      <c r="AE464">
        <f t="shared" si="391"/>
        <v>-1.1103304925850779</v>
      </c>
      <c r="AF464">
        <f t="shared" si="392"/>
        <v>0.14922565087499998</v>
      </c>
      <c r="AG464">
        <f t="shared" si="367"/>
        <v>15.923763416585075</v>
      </c>
      <c r="AH464">
        <f t="shared" si="368"/>
        <v>-125.18384050335374</v>
      </c>
      <c r="AJ464">
        <f t="shared" si="393"/>
        <v>10500</v>
      </c>
      <c r="AK464">
        <f t="shared" si="394"/>
        <v>3265.6855596750001</v>
      </c>
      <c r="AL464">
        <v>1</v>
      </c>
      <c r="AM464">
        <f t="shared" si="395"/>
        <v>148.75127038485002</v>
      </c>
      <c r="AN464">
        <f t="shared" si="369"/>
        <v>22.427522208853809</v>
      </c>
      <c r="AO464">
        <f t="shared" si="370"/>
        <v>-70.43686047644178</v>
      </c>
      <c r="AQ464">
        <f t="shared" si="396"/>
        <v>1.599999744000041E-3</v>
      </c>
      <c r="AR464">
        <f t="shared" si="397"/>
        <v>-3.9999993600001025</v>
      </c>
      <c r="AT464">
        <f t="shared" si="365"/>
        <v>-500.70980387837977</v>
      </c>
      <c r="AU464">
        <f t="shared" si="366"/>
        <v>-63.895337587891653</v>
      </c>
      <c r="AV464">
        <f t="shared" si="407"/>
        <v>-3.0146691163818802</v>
      </c>
      <c r="AW464">
        <f t="shared" si="408"/>
        <v>-247.59044024583494</v>
      </c>
      <c r="AX464">
        <f t="shared" si="409"/>
        <v>-287.40806605288554</v>
      </c>
      <c r="AY464">
        <f t="shared" si="417"/>
        <v>-2.2819057777921268</v>
      </c>
      <c r="BA464">
        <f t="shared" si="398"/>
        <v>1.3306278502029079</v>
      </c>
      <c r="BB464">
        <f t="shared" si="410"/>
        <v>2.4811321808307754</v>
      </c>
      <c r="BC464">
        <f t="shared" si="411"/>
        <v>-0.7327633385897534</v>
      </c>
      <c r="BD464">
        <f t="shared" si="399"/>
        <v>-221.98424673108258</v>
      </c>
      <c r="BF464">
        <f t="shared" si="400"/>
        <v>-52.853401343517923</v>
      </c>
      <c r="BG464">
        <f t="shared" si="401"/>
        <v>-183.52324591851641</v>
      </c>
      <c r="BH464">
        <f t="shared" si="412"/>
        <v>-3.5232459185164089</v>
      </c>
      <c r="BI464">
        <f t="shared" si="413"/>
        <v>-3.5232459185164089</v>
      </c>
      <c r="BJ464">
        <f t="shared" si="402"/>
        <v>0</v>
      </c>
      <c r="BK464">
        <f t="shared" si="414"/>
        <v>0</v>
      </c>
      <c r="BM464">
        <f t="shared" si="415"/>
        <v>-55.334533524348693</v>
      </c>
      <c r="BN464">
        <f t="shared" si="403"/>
        <v>-141.53899918743383</v>
      </c>
      <c r="BQ464" s="56">
        <f t="shared" si="416"/>
        <v>19.383092981115912</v>
      </c>
    </row>
    <row r="465" spans="1:69" x14ac:dyDescent="0.2">
      <c r="A465">
        <f t="shared" si="372"/>
        <v>1255000</v>
      </c>
      <c r="B465">
        <f t="shared" si="404"/>
        <v>1255</v>
      </c>
      <c r="C465">
        <f t="shared" si="373"/>
        <v>1.2734971320941488</v>
      </c>
      <c r="D465">
        <f t="shared" si="374"/>
        <v>0.66771381889726533</v>
      </c>
      <c r="F465">
        <f t="shared" si="375"/>
        <v>8.8997841371763156E-5</v>
      </c>
      <c r="G465">
        <f t="shared" si="376"/>
        <v>5.4754422223865593E-3</v>
      </c>
      <c r="H465">
        <f t="shared" si="377"/>
        <v>-3.1361172077776138</v>
      </c>
      <c r="J465">
        <f t="shared" si="378"/>
        <v>15</v>
      </c>
      <c r="M465">
        <f t="shared" si="379"/>
        <v>6.356726208898996E-4</v>
      </c>
      <c r="N465">
        <f t="shared" si="380"/>
        <v>-1.5707963250000001</v>
      </c>
      <c r="O465">
        <f t="shared" si="381"/>
        <v>141.94067856906105</v>
      </c>
      <c r="P465">
        <f t="shared" si="382"/>
        <v>1.5637510718142089</v>
      </c>
      <c r="Q465">
        <f t="shared" si="383"/>
        <v>149.34962335299898</v>
      </c>
      <c r="R465">
        <f t="shared" si="384"/>
        <v>1.5641005785917057</v>
      </c>
      <c r="S465">
        <f t="shared" si="385"/>
        <v>0.95454470342437614</v>
      </c>
      <c r="T465">
        <f t="shared" si="386"/>
        <v>-0.30266779393185639</v>
      </c>
      <c r="U465">
        <f t="shared" si="387"/>
        <v>0.13267860019420935</v>
      </c>
      <c r="V465">
        <f t="shared" si="388"/>
        <v>-1.437725339832884</v>
      </c>
      <c r="X465">
        <f t="shared" si="405"/>
        <v>-50.747792569270381</v>
      </c>
      <c r="Y465">
        <f t="shared" si="389"/>
        <v>-151.93357913638212</v>
      </c>
      <c r="Z465">
        <f t="shared" si="406"/>
        <v>28.066420863617878</v>
      </c>
      <c r="AC465">
        <v>1</v>
      </c>
      <c r="AD465">
        <f t="shared" si="390"/>
        <v>141.93715592700002</v>
      </c>
      <c r="AE465">
        <f t="shared" si="391"/>
        <v>-1.1192309018136397</v>
      </c>
      <c r="AF465">
        <f t="shared" si="392"/>
        <v>0.14982255347849999</v>
      </c>
      <c r="AG465">
        <f t="shared" si="367"/>
        <v>15.799362735834706</v>
      </c>
      <c r="AH465">
        <f t="shared" si="368"/>
        <v>-124.70175263425998</v>
      </c>
      <c r="AJ465">
        <f t="shared" si="393"/>
        <v>10500</v>
      </c>
      <c r="AK465">
        <f t="shared" si="394"/>
        <v>3278.7483019137007</v>
      </c>
      <c r="AL465">
        <v>1</v>
      </c>
      <c r="AM465">
        <f t="shared" si="395"/>
        <v>149.34627546638941</v>
      </c>
      <c r="AN465">
        <f t="shared" si="369"/>
        <v>22.423756817518825</v>
      </c>
      <c r="AO465">
        <f t="shared" si="370"/>
        <v>-70.156260746793606</v>
      </c>
      <c r="AQ465">
        <f t="shared" si="396"/>
        <v>1.5872761404936207E-3</v>
      </c>
      <c r="AR465">
        <f t="shared" si="397"/>
        <v>-3.9840631126389878</v>
      </c>
      <c r="AT465">
        <f t="shared" si="365"/>
        <v>-496.79457480008131</v>
      </c>
      <c r="AU465">
        <f t="shared" si="366"/>
        <v>-63.143594395676146</v>
      </c>
      <c r="AV465">
        <f t="shared" si="407"/>
        <v>-3.0151685152550454</v>
      </c>
      <c r="AW465">
        <f t="shared" si="408"/>
        <v>-245.44542211721838</v>
      </c>
      <c r="AX465">
        <f t="shared" si="409"/>
        <v>-286.25938611706573</v>
      </c>
      <c r="AY465">
        <f t="shared" si="417"/>
        <v>-2.2795841522128986</v>
      </c>
      <c r="BA465">
        <f t="shared" si="398"/>
        <v>1.3280838653463258</v>
      </c>
      <c r="BB465">
        <f t="shared" si="410"/>
        <v>2.4645100112893474</v>
      </c>
      <c r="BC465">
        <f t="shared" si="411"/>
        <v>-0.7355843630421468</v>
      </c>
      <c r="BD465">
        <f t="shared" si="399"/>
        <v>-222.14587952629265</v>
      </c>
      <c r="BF465">
        <f t="shared" si="400"/>
        <v>-52.926115921533771</v>
      </c>
      <c r="BG465">
        <f t="shared" si="401"/>
        <v>-183.57497600653258</v>
      </c>
      <c r="BH465">
        <f t="shared" si="412"/>
        <v>-3.5749760065325802</v>
      </c>
      <c r="BI465">
        <f t="shared" si="413"/>
        <v>-3.5749760065325802</v>
      </c>
      <c r="BJ465">
        <f t="shared" si="402"/>
        <v>0</v>
      </c>
      <c r="BK465">
        <f t="shared" si="414"/>
        <v>0</v>
      </c>
      <c r="BM465">
        <f t="shared" si="415"/>
        <v>-55.390625932823113</v>
      </c>
      <c r="BN465">
        <f t="shared" si="403"/>
        <v>-141.42909648023996</v>
      </c>
      <c r="BQ465" s="56">
        <f t="shared" si="416"/>
        <v>19.366470811574487</v>
      </c>
    </row>
    <row r="466" spans="1:69" x14ac:dyDescent="0.2">
      <c r="A466">
        <f t="shared" si="372"/>
        <v>1260000</v>
      </c>
      <c r="B466">
        <f t="shared" si="404"/>
        <v>1260</v>
      </c>
      <c r="C466">
        <f t="shared" si="373"/>
        <v>1.2754447680924583</v>
      </c>
      <c r="D466">
        <f t="shared" si="374"/>
        <v>0.66964797051375835</v>
      </c>
      <c r="F466">
        <f t="shared" si="375"/>
        <v>8.8292857748951037E-5</v>
      </c>
      <c r="G466">
        <f t="shared" si="376"/>
        <v>5.4537107873914616E-3</v>
      </c>
      <c r="H466">
        <f t="shared" si="377"/>
        <v>-3.1361389392126089</v>
      </c>
      <c r="J466">
        <f t="shared" si="378"/>
        <v>15</v>
      </c>
      <c r="M466">
        <f t="shared" si="379"/>
        <v>6.3315011048954283E-4</v>
      </c>
      <c r="N466">
        <f t="shared" si="380"/>
        <v>-1.5707963250000001</v>
      </c>
      <c r="O466">
        <f t="shared" si="381"/>
        <v>142.50615126766758</v>
      </c>
      <c r="P466">
        <f t="shared" si="382"/>
        <v>1.5637790282556312</v>
      </c>
      <c r="Q466">
        <f t="shared" si="383"/>
        <v>149.94461514957013</v>
      </c>
      <c r="R466">
        <f t="shared" si="384"/>
        <v>1.5641271482316557</v>
      </c>
      <c r="S466">
        <f t="shared" si="385"/>
        <v>0.95420633802037436</v>
      </c>
      <c r="T466">
        <f t="shared" si="386"/>
        <v>-0.30380093432233873</v>
      </c>
      <c r="U466">
        <f t="shared" si="387"/>
        <v>0.13216131202343559</v>
      </c>
      <c r="V466">
        <f t="shared" si="388"/>
        <v>-1.4382472238761594</v>
      </c>
      <c r="X466">
        <f t="shared" si="405"/>
        <v>-50.806074006466574</v>
      </c>
      <c r="Y466">
        <f t="shared" si="389"/>
        <v>-151.9157073320155</v>
      </c>
      <c r="Z466">
        <f t="shared" si="406"/>
        <v>28.084292667984499</v>
      </c>
      <c r="AC466">
        <v>1</v>
      </c>
      <c r="AD466">
        <f t="shared" si="390"/>
        <v>142.50264260400002</v>
      </c>
      <c r="AE466">
        <f t="shared" si="391"/>
        <v>-1.1281668416179644</v>
      </c>
      <c r="AF466">
        <f t="shared" si="392"/>
        <v>0.150419456082</v>
      </c>
      <c r="AG466">
        <f t="shared" si="367"/>
        <v>15.676405585110556</v>
      </c>
      <c r="AH466">
        <f t="shared" si="368"/>
        <v>-124.22329839226438</v>
      </c>
      <c r="AJ466">
        <f t="shared" si="393"/>
        <v>10500</v>
      </c>
      <c r="AK466">
        <f t="shared" si="394"/>
        <v>3291.8110441524004</v>
      </c>
      <c r="AL466">
        <v>1</v>
      </c>
      <c r="AM466">
        <f t="shared" si="395"/>
        <v>149.94128054792881</v>
      </c>
      <c r="AN466">
        <f t="shared" si="369"/>
        <v>22.420036160612987</v>
      </c>
      <c r="AO466">
        <f t="shared" si="370"/>
        <v>-69.877887700780462</v>
      </c>
      <c r="AQ466">
        <f t="shared" si="396"/>
        <v>1.5747037076871209E-3</v>
      </c>
      <c r="AR466">
        <f t="shared" si="397"/>
        <v>-3.9682533433715448</v>
      </c>
      <c r="AT466">
        <f t="shared" si="365"/>
        <v>-492.92483347574608</v>
      </c>
      <c r="AU466">
        <f t="shared" si="366"/>
        <v>-62.403563763722744</v>
      </c>
      <c r="AV466">
        <f t="shared" si="407"/>
        <v>-3.0156640238343253</v>
      </c>
      <c r="AW466">
        <f t="shared" si="408"/>
        <v>-243.32591289396558</v>
      </c>
      <c r="AX466">
        <f t="shared" si="409"/>
        <v>-285.11986899024276</v>
      </c>
      <c r="AY466">
        <f t="shared" si="417"/>
        <v>-2.2772703262485887</v>
      </c>
      <c r="BA466">
        <f t="shared" si="398"/>
        <v>1.3255432540607668</v>
      </c>
      <c r="BB466">
        <f t="shared" si="410"/>
        <v>2.4478780769675947</v>
      </c>
      <c r="BC466">
        <f t="shared" si="411"/>
        <v>-0.73839369758573659</v>
      </c>
      <c r="BD466">
        <f t="shared" si="399"/>
        <v>-222.30684253906458</v>
      </c>
      <c r="BF466">
        <f t="shared" si="400"/>
        <v>-52.998552134376027</v>
      </c>
      <c r="BG466">
        <f t="shared" si="401"/>
        <v>-183.62636541412382</v>
      </c>
      <c r="BH466">
        <f t="shared" si="412"/>
        <v>-3.6263654141238248</v>
      </c>
      <c r="BI466">
        <f t="shared" si="413"/>
        <v>-3.6263654141238248</v>
      </c>
      <c r="BJ466">
        <f t="shared" si="402"/>
        <v>0</v>
      </c>
      <c r="BK466">
        <f t="shared" si="414"/>
        <v>0</v>
      </c>
      <c r="BM466">
        <f t="shared" si="415"/>
        <v>-55.446430211343625</v>
      </c>
      <c r="BN466">
        <f t="shared" si="403"/>
        <v>-141.31952287505925</v>
      </c>
      <c r="BQ466" s="56">
        <f t="shared" si="416"/>
        <v>19.349838877252733</v>
      </c>
    </row>
    <row r="467" spans="1:69" x14ac:dyDescent="0.2">
      <c r="A467">
        <f t="shared" si="372"/>
        <v>1265000</v>
      </c>
      <c r="B467">
        <f t="shared" si="404"/>
        <v>1265</v>
      </c>
      <c r="C467">
        <f t="shared" si="373"/>
        <v>1.2773971608961656</v>
      </c>
      <c r="D467">
        <f t="shared" si="374"/>
        <v>0.67157621695321956</v>
      </c>
      <c r="F467">
        <f t="shared" si="375"/>
        <v>8.7596217915462767E-5</v>
      </c>
      <c r="G467">
        <f t="shared" si="376"/>
        <v>5.4321511835345414E-3</v>
      </c>
      <c r="H467">
        <f t="shared" si="377"/>
        <v>-3.1361604988164657</v>
      </c>
      <c r="J467">
        <f t="shared" si="378"/>
        <v>15</v>
      </c>
      <c r="M467">
        <f t="shared" si="379"/>
        <v>6.3064754088286478E-4</v>
      </c>
      <c r="N467">
        <f t="shared" si="380"/>
        <v>-1.5707963250000001</v>
      </c>
      <c r="O467">
        <f t="shared" si="381"/>
        <v>143.07162407677117</v>
      </c>
      <c r="P467">
        <f t="shared" si="382"/>
        <v>1.5638067637083559</v>
      </c>
      <c r="Q467">
        <f t="shared" si="383"/>
        <v>150.53960705115725</v>
      </c>
      <c r="R467">
        <f t="shared" si="384"/>
        <v>1.5641535078442312</v>
      </c>
      <c r="S467">
        <f t="shared" si="385"/>
        <v>0.9538669889483522</v>
      </c>
      <c r="T467">
        <f t="shared" si="386"/>
        <v>-0.30493327019735778</v>
      </c>
      <c r="U467">
        <f t="shared" si="387"/>
        <v>0.1316480063609288</v>
      </c>
      <c r="V467">
        <f t="shared" si="388"/>
        <v>-1.4387650541343924</v>
      </c>
      <c r="X467">
        <f t="shared" si="405"/>
        <v>-50.864086829542074</v>
      </c>
      <c r="Y467">
        <f t="shared" si="389"/>
        <v>-151.89791035945845</v>
      </c>
      <c r="Z467">
        <f t="shared" si="406"/>
        <v>28.10208964054155</v>
      </c>
      <c r="AC467">
        <v>1</v>
      </c>
      <c r="AD467">
        <f t="shared" si="390"/>
        <v>143.06812928100001</v>
      </c>
      <c r="AE467">
        <f t="shared" si="391"/>
        <v>-1.1371383119980518</v>
      </c>
      <c r="AF467">
        <f t="shared" si="392"/>
        <v>0.15101635868549998</v>
      </c>
      <c r="AG467">
        <f t="shared" si="367"/>
        <v>15.554869849123309</v>
      </c>
      <c r="AH467">
        <f t="shared" si="368"/>
        <v>-123.7484376278755</v>
      </c>
      <c r="AJ467">
        <f t="shared" si="393"/>
        <v>10500</v>
      </c>
      <c r="AK467">
        <f t="shared" si="394"/>
        <v>3304.8737863911006</v>
      </c>
      <c r="AL467">
        <v>1</v>
      </c>
      <c r="AM467">
        <f t="shared" si="395"/>
        <v>150.53628562946821</v>
      </c>
      <c r="AN467">
        <f t="shared" si="369"/>
        <v>22.416359532324336</v>
      </c>
      <c r="AO467">
        <f t="shared" si="370"/>
        <v>-69.601714939727714</v>
      </c>
      <c r="AQ467">
        <f t="shared" si="396"/>
        <v>1.5622800602602665E-3</v>
      </c>
      <c r="AR467">
        <f t="shared" si="397"/>
        <v>-3.9525685524584744</v>
      </c>
      <c r="AT467">
        <f t="shared" si="365"/>
        <v>-489.09988192080448</v>
      </c>
      <c r="AU467">
        <f t="shared" si="366"/>
        <v>-61.675019119823673</v>
      </c>
      <c r="AV467">
        <f t="shared" si="407"/>
        <v>-3.0161556871194168</v>
      </c>
      <c r="AW467">
        <f t="shared" si="408"/>
        <v>-241.23150961747612</v>
      </c>
      <c r="AX467">
        <f t="shared" si="409"/>
        <v>-283.98940523037794</v>
      </c>
      <c r="AY467">
        <f t="shared" si="417"/>
        <v>-2.2749642703399706</v>
      </c>
      <c r="BA467">
        <f t="shared" si="398"/>
        <v>1.323006075760256</v>
      </c>
      <c r="BB467">
        <f t="shared" si="410"/>
        <v>2.4312367728368467</v>
      </c>
      <c r="BC467">
        <f t="shared" si="411"/>
        <v>-0.74119141677944622</v>
      </c>
      <c r="BD467">
        <f t="shared" si="399"/>
        <v>-222.46714004131005</v>
      </c>
      <c r="BF467">
        <f t="shared" si="400"/>
        <v>-53.070712008092549</v>
      </c>
      <c r="BG467">
        <f t="shared" si="401"/>
        <v>-183.67741780771118</v>
      </c>
      <c r="BH467">
        <f t="shared" si="412"/>
        <v>-3.6774178077111799</v>
      </c>
      <c r="BI467">
        <f t="shared" si="413"/>
        <v>-3.6774178077111799</v>
      </c>
      <c r="BJ467">
        <f t="shared" si="402"/>
        <v>0</v>
      </c>
      <c r="BK467">
        <f t="shared" si="414"/>
        <v>0</v>
      </c>
      <c r="BM467">
        <f t="shared" si="415"/>
        <v>-55.501948780929396</v>
      </c>
      <c r="BN467">
        <f t="shared" si="403"/>
        <v>-141.21027776640113</v>
      </c>
      <c r="BQ467" s="56">
        <f t="shared" si="416"/>
        <v>19.333197573121982</v>
      </c>
    </row>
    <row r="468" spans="1:69" x14ac:dyDescent="0.2">
      <c r="A468">
        <f t="shared" si="372"/>
        <v>1270000</v>
      </c>
      <c r="B468">
        <f t="shared" si="404"/>
        <v>1270</v>
      </c>
      <c r="C468">
        <f t="shared" si="373"/>
        <v>1.2793542887275209</v>
      </c>
      <c r="D468">
        <f t="shared" si="374"/>
        <v>0.67349857094473942</v>
      </c>
      <c r="F468">
        <f t="shared" si="375"/>
        <v>8.6907790715802554E-5</v>
      </c>
      <c r="G468">
        <f t="shared" si="376"/>
        <v>5.410761380670071E-3</v>
      </c>
      <c r="H468">
        <f t="shared" si="377"/>
        <v>-3.1361818886193302</v>
      </c>
      <c r="J468">
        <f t="shared" si="378"/>
        <v>15</v>
      </c>
      <c r="M468">
        <f t="shared" si="379"/>
        <v>6.2816467654868032E-4</v>
      </c>
      <c r="N468">
        <f t="shared" si="380"/>
        <v>-1.5707963250000001</v>
      </c>
      <c r="O468">
        <f t="shared" si="381"/>
        <v>143.6370969950668</v>
      </c>
      <c r="P468">
        <f t="shared" si="382"/>
        <v>1.5638342807823162</v>
      </c>
      <c r="Q468">
        <f t="shared" si="383"/>
        <v>151.13459905652013</v>
      </c>
      <c r="R468">
        <f t="shared" si="384"/>
        <v>1.5641796599099251</v>
      </c>
      <c r="S468">
        <f t="shared" si="385"/>
        <v>0.95352665986666374</v>
      </c>
      <c r="T468">
        <f t="shared" si="386"/>
        <v>-0.30606479951277349</v>
      </c>
      <c r="U468">
        <f t="shared" si="387"/>
        <v>0.13113863780394333</v>
      </c>
      <c r="V468">
        <f t="shared" si="388"/>
        <v>-1.4392788773826022</v>
      </c>
      <c r="X468">
        <f t="shared" si="405"/>
        <v>-50.921833299812604</v>
      </c>
      <c r="Y468">
        <f t="shared" si="389"/>
        <v>-151.88018987693721</v>
      </c>
      <c r="Z468">
        <f t="shared" si="406"/>
        <v>28.119810123062791</v>
      </c>
      <c r="AC468">
        <v>1</v>
      </c>
      <c r="AD468">
        <f t="shared" si="390"/>
        <v>143.63361595800001</v>
      </c>
      <c r="AE468">
        <f t="shared" si="391"/>
        <v>-1.1461453129539019</v>
      </c>
      <c r="AF468">
        <f t="shared" si="392"/>
        <v>0.15161326128899999</v>
      </c>
      <c r="AG468">
        <f t="shared" si="367"/>
        <v>15.434733831922221</v>
      </c>
      <c r="AH468">
        <f t="shared" si="368"/>
        <v>-123.27713076840674</v>
      </c>
      <c r="AJ468">
        <f t="shared" si="393"/>
        <v>10500</v>
      </c>
      <c r="AK468">
        <f t="shared" si="394"/>
        <v>3317.9365286298003</v>
      </c>
      <c r="AL468">
        <v>1</v>
      </c>
      <c r="AM468">
        <f t="shared" si="395"/>
        <v>151.13129071100764</v>
      </c>
      <c r="AN468">
        <f t="shared" si="369"/>
        <v>22.412726240706188</v>
      </c>
      <c r="AO468">
        <f t="shared" si="370"/>
        <v>-69.327716480596166</v>
      </c>
      <c r="AQ468">
        <f t="shared" si="396"/>
        <v>1.5500028597552763E-3</v>
      </c>
      <c r="AR468">
        <f t="shared" si="397"/>
        <v>-3.9370072637784017</v>
      </c>
      <c r="AT468">
        <f t="shared" si="365"/>
        <v>-485.3190354113982</v>
      </c>
      <c r="AU468">
        <f t="shared" si="366"/>
        <v>-60.957739115997491</v>
      </c>
      <c r="AV468">
        <f t="shared" si="407"/>
        <v>-3.0166435494230188</v>
      </c>
      <c r="AW468">
        <f t="shared" si="408"/>
        <v>-239.16181725612051</v>
      </c>
      <c r="AX468">
        <f t="shared" si="409"/>
        <v>-282.86788713589772</v>
      </c>
      <c r="AY468">
        <f t="shared" si="417"/>
        <v>-2.272665954906957</v>
      </c>
      <c r="BA468">
        <f t="shared" si="398"/>
        <v>1.3204723885499283</v>
      </c>
      <c r="BB468">
        <f t="shared" si="410"/>
        <v>2.4145864883556318</v>
      </c>
      <c r="BC468">
        <f t="shared" si="411"/>
        <v>-0.74397759451606182</v>
      </c>
      <c r="BD468">
        <f t="shared" si="399"/>
        <v>-222.62677626677385</v>
      </c>
      <c r="BF468">
        <f t="shared" si="400"/>
        <v>-53.142597546660902</v>
      </c>
      <c r="BG468">
        <f t="shared" si="401"/>
        <v>-183.72813680803506</v>
      </c>
      <c r="BH468">
        <f t="shared" si="412"/>
        <v>-3.7281368080350603</v>
      </c>
      <c r="BI468">
        <f t="shared" si="413"/>
        <v>-3.7281368080350603</v>
      </c>
      <c r="BJ468">
        <f t="shared" si="402"/>
        <v>0</v>
      </c>
      <c r="BK468">
        <f t="shared" si="414"/>
        <v>0</v>
      </c>
      <c r="BM468">
        <f t="shared" si="415"/>
        <v>-55.557184035016533</v>
      </c>
      <c r="BN468">
        <f t="shared" si="403"/>
        <v>-141.10136054126124</v>
      </c>
      <c r="BQ468" s="56">
        <f t="shared" si="416"/>
        <v>19.31654728864077</v>
      </c>
    </row>
    <row r="469" spans="1:69" x14ac:dyDescent="0.2">
      <c r="A469">
        <f t="shared" si="372"/>
        <v>1275000</v>
      </c>
      <c r="B469">
        <f t="shared" si="404"/>
        <v>1275</v>
      </c>
      <c r="C469">
        <f t="shared" si="373"/>
        <v>1.2813161298891758</v>
      </c>
      <c r="D469">
        <f t="shared" si="374"/>
        <v>0.67541504531393326</v>
      </c>
      <c r="F469">
        <f t="shared" si="375"/>
        <v>8.6227447561477692E-5</v>
      </c>
      <c r="G469">
        <f t="shared" si="376"/>
        <v>5.3895393805102965E-3</v>
      </c>
      <c r="H469">
        <f t="shared" si="377"/>
        <v>-3.1362031106194901</v>
      </c>
      <c r="J469">
        <f t="shared" si="378"/>
        <v>15</v>
      </c>
      <c r="M469">
        <f t="shared" si="379"/>
        <v>6.2570128566025412E-4</v>
      </c>
      <c r="N469">
        <f t="shared" si="380"/>
        <v>-1.5707963250000001</v>
      </c>
      <c r="O469">
        <f t="shared" si="381"/>
        <v>144.20257002126996</v>
      </c>
      <c r="P469">
        <f t="shared" si="382"/>
        <v>1.5638615820465083</v>
      </c>
      <c r="Q469">
        <f t="shared" si="383"/>
        <v>151.72959116443789</v>
      </c>
      <c r="R469">
        <f t="shared" si="384"/>
        <v>1.564205606870323</v>
      </c>
      <c r="S469">
        <f t="shared" si="385"/>
        <v>0.95318535443695662</v>
      </c>
      <c r="T469">
        <f t="shared" si="386"/>
        <v>-0.3071955202356183</v>
      </c>
      <c r="U469">
        <f t="shared" si="387"/>
        <v>0.1306331616308897</v>
      </c>
      <c r="V469">
        <f t="shared" si="388"/>
        <v>-1.4397887396831652</v>
      </c>
      <c r="X469">
        <f t="shared" si="405"/>
        <v>-50.979315653484853</v>
      </c>
      <c r="Y469">
        <f t="shared" si="389"/>
        <v>-151.86254749970581</v>
      </c>
      <c r="Z469">
        <f t="shared" si="406"/>
        <v>28.137452500294188</v>
      </c>
      <c r="AC469">
        <v>1</v>
      </c>
      <c r="AD469">
        <f t="shared" si="390"/>
        <v>144.199102635</v>
      </c>
      <c r="AE469">
        <f t="shared" si="391"/>
        <v>-1.1551878444855148</v>
      </c>
      <c r="AF469">
        <f t="shared" si="392"/>
        <v>0.1522101638925</v>
      </c>
      <c r="AG469">
        <f t="shared" si="367"/>
        <v>15.315976247448797</v>
      </c>
      <c r="AH469">
        <f t="shared" si="368"/>
        <v>-122.80933880791117</v>
      </c>
      <c r="AJ469">
        <f t="shared" si="393"/>
        <v>10500</v>
      </c>
      <c r="AK469">
        <f t="shared" si="394"/>
        <v>3330.9992708684999</v>
      </c>
      <c r="AL469">
        <v>1</v>
      </c>
      <c r="AM469">
        <f t="shared" si="395"/>
        <v>151.72629579254701</v>
      </c>
      <c r="AN469">
        <f t="shared" si="369"/>
        <v>22.409135607351654</v>
      </c>
      <c r="AO469">
        <f t="shared" si="370"/>
        <v>-69.0558667478345</v>
      </c>
      <c r="AQ469">
        <f t="shared" si="396"/>
        <v>1.537869813476384E-3</v>
      </c>
      <c r="AR469">
        <f t="shared" si="397"/>
        <v>-3.9215680243647792</v>
      </c>
      <c r="AT469">
        <f t="shared" si="365"/>
        <v>-481.58162218495022</v>
      </c>
      <c r="AU469">
        <f t="shared" si="366"/>
        <v>-60.251507488891342</v>
      </c>
      <c r="AV469">
        <f t="shared" si="407"/>
        <v>-3.0171276543838079</v>
      </c>
      <c r="AW469">
        <f t="shared" si="408"/>
        <v>-237.11644851881607</v>
      </c>
      <c r="AX469">
        <f t="shared" si="409"/>
        <v>-281.75520871113133</v>
      </c>
      <c r="AY469">
        <f t="shared" si="417"/>
        <v>-2.2703753503518525</v>
      </c>
      <c r="BA469">
        <f t="shared" si="398"/>
        <v>1.3179422492475372</v>
      </c>
      <c r="BB469">
        <f t="shared" si="410"/>
        <v>2.3979276075479952</v>
      </c>
      <c r="BC469">
        <f t="shared" si="411"/>
        <v>-0.74675230403195547</v>
      </c>
      <c r="BD469">
        <f t="shared" si="399"/>
        <v>-222.785755411591</v>
      </c>
      <c r="BF469">
        <f t="shared" si="400"/>
        <v>-53.214210732320637</v>
      </c>
      <c r="BG469">
        <f t="shared" si="401"/>
        <v>-183.77852599087032</v>
      </c>
      <c r="BH469">
        <f t="shared" si="412"/>
        <v>-3.778525990870321</v>
      </c>
      <c r="BI469">
        <f t="shared" si="413"/>
        <v>-3.778525990870321</v>
      </c>
      <c r="BJ469">
        <f t="shared" si="402"/>
        <v>0</v>
      </c>
      <c r="BK469">
        <f t="shared" si="414"/>
        <v>0</v>
      </c>
      <c r="BM469">
        <f t="shared" si="415"/>
        <v>-55.612138339868629</v>
      </c>
      <c r="BN469">
        <f t="shared" si="403"/>
        <v>-140.99277057927935</v>
      </c>
      <c r="BQ469" s="56">
        <f t="shared" si="416"/>
        <v>19.299888407833134</v>
      </c>
    </row>
    <row r="470" spans="1:69" x14ac:dyDescent="0.2">
      <c r="A470">
        <f t="shared" si="372"/>
        <v>1280000</v>
      </c>
      <c r="B470">
        <f t="shared" si="404"/>
        <v>1280</v>
      </c>
      <c r="C470">
        <f t="shared" si="373"/>
        <v>1.2832826627643676</v>
      </c>
      <c r="D470">
        <f t="shared" si="374"/>
        <v>0.6773256529808428</v>
      </c>
      <c r="F470">
        <f t="shared" si="375"/>
        <v>8.555506237094187E-5</v>
      </c>
      <c r="G470">
        <f t="shared" si="376"/>
        <v>5.3684832160029346E-3</v>
      </c>
      <c r="H470">
        <f t="shared" si="377"/>
        <v>-3.1362241667839972</v>
      </c>
      <c r="J470">
        <f t="shared" si="378"/>
        <v>15</v>
      </c>
      <c r="M470">
        <f t="shared" si="379"/>
        <v>6.2325714001314377E-4</v>
      </c>
      <c r="N470">
        <f t="shared" si="380"/>
        <v>-1.5707963250000001</v>
      </c>
      <c r="O470">
        <f t="shared" si="381"/>
        <v>144.7680431541161</v>
      </c>
      <c r="P470">
        <f t="shared" si="382"/>
        <v>1.5638886700297912</v>
      </c>
      <c r="Q470">
        <f t="shared" si="383"/>
        <v>152.32458337370878</v>
      </c>
      <c r="R470">
        <f t="shared" si="384"/>
        <v>1.5642313511288635</v>
      </c>
      <c r="S470">
        <f t="shared" si="385"/>
        <v>0.95284307632407783</v>
      </c>
      <c r="T470">
        <f t="shared" si="386"/>
        <v>-0.30832543034409965</v>
      </c>
      <c r="U470">
        <f t="shared" si="387"/>
        <v>0.1301315337887323</v>
      </c>
      <c r="V470">
        <f t="shared" si="388"/>
        <v>-1.4402946863992547</v>
      </c>
      <c r="X470">
        <f t="shared" si="405"/>
        <v>-51.036536102011695</v>
      </c>
      <c r="Y470">
        <f t="shared" si="389"/>
        <v>-151.84498480088234</v>
      </c>
      <c r="Z470">
        <f t="shared" si="406"/>
        <v>28.155015199117656</v>
      </c>
      <c r="AC470">
        <v>1</v>
      </c>
      <c r="AD470">
        <f t="shared" si="390"/>
        <v>144.764589312</v>
      </c>
      <c r="AE470">
        <f t="shared" si="391"/>
        <v>-1.1642659065928906</v>
      </c>
      <c r="AF470">
        <f t="shared" si="392"/>
        <v>0.15280706649600001</v>
      </c>
      <c r="AG470">
        <f t="shared" si="367"/>
        <v>15.198576210336228</v>
      </c>
      <c r="AH470">
        <f t="shared" si="368"/>
        <v>-122.34502329732</v>
      </c>
      <c r="AJ470">
        <f t="shared" si="393"/>
        <v>10500</v>
      </c>
      <c r="AK470">
        <f t="shared" si="394"/>
        <v>3344.0620131072005</v>
      </c>
      <c r="AL470">
        <v>1</v>
      </c>
      <c r="AM470">
        <f t="shared" si="395"/>
        <v>152.3213008740864</v>
      </c>
      <c r="AN470">
        <f t="shared" si="369"/>
        <v>22.405586967076861</v>
      </c>
      <c r="AO470">
        <f t="shared" si="370"/>
        <v>-68.786140565422514</v>
      </c>
      <c r="AQ470">
        <f t="shared" si="396"/>
        <v>1.5258786734193919E-3</v>
      </c>
      <c r="AR470">
        <f t="shared" si="397"/>
        <v>-3.9062494039536433</v>
      </c>
      <c r="AT470">
        <f t="shared" ref="AT470:AT533" si="418">-AR470*AH470+AG470*AQ470</f>
        <v>-477.88698314854514</v>
      </c>
      <c r="AU470">
        <f t="shared" ref="AU470:AU533" si="419">AQ470*AH470+AG470*AR470</f>
        <v>-59.556112924418287</v>
      </c>
      <c r="AV470">
        <f t="shared" si="407"/>
        <v>-3.0176080449791249</v>
      </c>
      <c r="AW470">
        <f t="shared" si="408"/>
        <v>-235.09502367369808</v>
      </c>
      <c r="AX470">
        <f t="shared" si="409"/>
        <v>-280.65126563257144</v>
      </c>
      <c r="AY470">
        <f t="shared" si="417"/>
        <v>-2.2680924270625398</v>
      </c>
      <c r="BA470">
        <f t="shared" si="398"/>
        <v>1.3154157134045996</v>
      </c>
      <c r="BB470">
        <f t="shared" si="410"/>
        <v>2.3812605090803722</v>
      </c>
      <c r="BC470">
        <f t="shared" si="411"/>
        <v>-0.74951561791658516</v>
      </c>
      <c r="BD470">
        <f t="shared" si="399"/>
        <v>-222.94408163483109</v>
      </c>
      <c r="BF470">
        <f t="shared" si="400"/>
        <v>-53.285553525899331</v>
      </c>
      <c r="BG470">
        <f t="shared" si="401"/>
        <v>-183.82858888772643</v>
      </c>
      <c r="BH470">
        <f t="shared" si="412"/>
        <v>-3.8285888877264256</v>
      </c>
      <c r="BI470">
        <f t="shared" si="413"/>
        <v>-3.8285888877264256</v>
      </c>
      <c r="BJ470">
        <f t="shared" si="402"/>
        <v>0</v>
      </c>
      <c r="BK470">
        <f t="shared" si="414"/>
        <v>0</v>
      </c>
      <c r="BM470">
        <f t="shared" si="415"/>
        <v>-55.666814034979701</v>
      </c>
      <c r="BN470">
        <f t="shared" si="403"/>
        <v>-140.88450725289536</v>
      </c>
      <c r="BQ470" s="56">
        <f t="shared" si="416"/>
        <v>19.283221309365508</v>
      </c>
    </row>
    <row r="471" spans="1:69" x14ac:dyDescent="0.2">
      <c r="A471">
        <f t="shared" si="372"/>
        <v>1285000</v>
      </c>
      <c r="B471">
        <f t="shared" si="404"/>
        <v>1285</v>
      </c>
      <c r="C471">
        <f t="shared" si="373"/>
        <v>1.2852538658170976</v>
      </c>
      <c r="D471">
        <f t="shared" si="374"/>
        <v>0.6792304069578573</v>
      </c>
      <c r="F471">
        <f t="shared" si="375"/>
        <v>8.4890511511171536E-5</v>
      </c>
      <c r="G471">
        <f t="shared" si="376"/>
        <v>5.3475909507231766E-3</v>
      </c>
      <c r="H471">
        <f t="shared" si="377"/>
        <v>-3.1362450590492772</v>
      </c>
      <c r="J471">
        <f t="shared" si="378"/>
        <v>15</v>
      </c>
      <c r="M471">
        <f t="shared" si="379"/>
        <v>6.2083201495472678E-4</v>
      </c>
      <c r="N471">
        <f t="shared" si="380"/>
        <v>-1.5707963250000001</v>
      </c>
      <c r="O471">
        <f t="shared" si="381"/>
        <v>145.33351639236048</v>
      </c>
      <c r="P471">
        <f t="shared" si="382"/>
        <v>1.563915547221667</v>
      </c>
      <c r="Q471">
        <f t="shared" si="383"/>
        <v>152.91957568314973</v>
      </c>
      <c r="R471">
        <f t="shared" si="384"/>
        <v>1.5642568950515805</v>
      </c>
      <c r="S471">
        <f t="shared" si="385"/>
        <v>0.95249982919598142</v>
      </c>
      <c r="T471">
        <f t="shared" si="386"/>
        <v>-0.30945452782760197</v>
      </c>
      <c r="U471">
        <f t="shared" si="387"/>
        <v>0.12963371088066306</v>
      </c>
      <c r="V471">
        <f t="shared" si="388"/>
        <v>-1.440796762207978</v>
      </c>
      <c r="X471">
        <f t="shared" si="405"/>
        <v>-51.093496832441005</v>
      </c>
      <c r="Y471">
        <f t="shared" si="389"/>
        <v>-151.82750331226913</v>
      </c>
      <c r="Z471">
        <f t="shared" si="406"/>
        <v>28.17249668773087</v>
      </c>
      <c r="AC471">
        <v>1</v>
      </c>
      <c r="AD471">
        <f t="shared" si="390"/>
        <v>145.33007598899999</v>
      </c>
      <c r="AE471">
        <f t="shared" si="391"/>
        <v>-1.1733794992760289</v>
      </c>
      <c r="AF471">
        <f t="shared" si="392"/>
        <v>0.15340396909949999</v>
      </c>
      <c r="AG471">
        <f t="shared" si="367"/>
        <v>15.082513226947336</v>
      </c>
      <c r="AH471">
        <f t="shared" si="368"/>
        <v>-121.88414633478013</v>
      </c>
      <c r="AJ471">
        <f t="shared" si="393"/>
        <v>10500</v>
      </c>
      <c r="AK471">
        <f t="shared" si="394"/>
        <v>3357.1247553459002</v>
      </c>
      <c r="AL471">
        <v>1</v>
      </c>
      <c r="AM471">
        <f t="shared" si="395"/>
        <v>152.91630595562583</v>
      </c>
      <c r="AN471">
        <f t="shared" si="369"/>
        <v>22.402079667612909</v>
      </c>
      <c r="AO471">
        <f t="shared" si="370"/>
        <v>-68.518513149100244</v>
      </c>
      <c r="AQ471">
        <f t="shared" si="396"/>
        <v>1.5140272352303238E-3</v>
      </c>
      <c r="AR471">
        <f t="shared" si="397"/>
        <v>-3.8910499945419317</v>
      </c>
      <c r="AT471">
        <f t="shared" si="418"/>
        <v>-474.23447159489285</v>
      </c>
      <c r="AU471">
        <f t="shared" si="419"/>
        <v>-58.871348926485702</v>
      </c>
      <c r="AV471">
        <f t="shared" si="407"/>
        <v>-3.0180847635373755</v>
      </c>
      <c r="AW471">
        <f t="shared" si="408"/>
        <v>-233.09717037172928</v>
      </c>
      <c r="AX471">
        <f t="shared" si="409"/>
        <v>-279.55595521593517</v>
      </c>
      <c r="AY471">
        <f t="shared" si="417"/>
        <v>-2.265817155415601</v>
      </c>
      <c r="BA471">
        <f t="shared" si="398"/>
        <v>1.312892835327188</v>
      </c>
      <c r="BB471">
        <f t="shared" si="410"/>
        <v>2.3645855663370732</v>
      </c>
      <c r="BC471">
        <f t="shared" si="411"/>
        <v>-0.75226760812177451</v>
      </c>
      <c r="BD471">
        <f t="shared" si="399"/>
        <v>-223.10175905902994</v>
      </c>
      <c r="BF471">
        <f t="shared" si="400"/>
        <v>-53.356627867132246</v>
      </c>
      <c r="BG471">
        <f t="shared" si="401"/>
        <v>-183.87832898653329</v>
      </c>
      <c r="BH471">
        <f t="shared" si="412"/>
        <v>-3.8783289865332904</v>
      </c>
      <c r="BI471">
        <f t="shared" si="413"/>
        <v>-3.8783289865332904</v>
      </c>
      <c r="BJ471">
        <f t="shared" si="402"/>
        <v>0</v>
      </c>
      <c r="BK471">
        <f t="shared" si="414"/>
        <v>0</v>
      </c>
      <c r="BM471">
        <f t="shared" si="415"/>
        <v>-55.721213433469323</v>
      </c>
      <c r="BN471">
        <f t="shared" si="403"/>
        <v>-140.77656992750335</v>
      </c>
      <c r="BQ471" s="56">
        <f t="shared" si="416"/>
        <v>19.266546366622212</v>
      </c>
    </row>
    <row r="472" spans="1:69" x14ac:dyDescent="0.2">
      <c r="A472">
        <f t="shared" si="372"/>
        <v>1290000</v>
      </c>
      <c r="B472">
        <f t="shared" si="404"/>
        <v>1290</v>
      </c>
      <c r="C472">
        <f t="shared" si="373"/>
        <v>1.2872297175922947</v>
      </c>
      <c r="D472">
        <f t="shared" si="374"/>
        <v>0.68112932034765683</v>
      </c>
      <c r="F472">
        <f t="shared" si="375"/>
        <v>8.4233673740824515E-5</v>
      </c>
      <c r="G472">
        <f t="shared" si="376"/>
        <v>5.3268606782798733E-3</v>
      </c>
      <c r="H472">
        <f t="shared" si="377"/>
        <v>-3.1362657893217203</v>
      </c>
      <c r="J472">
        <f t="shared" si="378"/>
        <v>15</v>
      </c>
      <c r="M472">
        <f t="shared" si="379"/>
        <v>6.1842568931536751E-4</v>
      </c>
      <c r="N472">
        <f t="shared" si="380"/>
        <v>-1.5707963250000001</v>
      </c>
      <c r="O472">
        <f t="shared" si="381"/>
        <v>145.89898973477756</v>
      </c>
      <c r="P472">
        <f t="shared" si="382"/>
        <v>1.5639422160730445</v>
      </c>
      <c r="Q472">
        <f t="shared" si="383"/>
        <v>153.51456809159603</v>
      </c>
      <c r="R472">
        <f t="shared" si="384"/>
        <v>1.5642822409678279</v>
      </c>
      <c r="S472">
        <f t="shared" si="385"/>
        <v>0.95215561672363636</v>
      </c>
      <c r="T472">
        <f t="shared" si="386"/>
        <v>-0.31058281068668847</v>
      </c>
      <c r="U472">
        <f t="shared" si="387"/>
        <v>0.12913965015404408</v>
      </c>
      <c r="V472">
        <f t="shared" si="388"/>
        <v>-1.4412950111132221</v>
      </c>
      <c r="X472">
        <f t="shared" si="405"/>
        <v>-51.15020000775835</v>
      </c>
      <c r="Y472">
        <f t="shared" si="389"/>
        <v>-151.81010452515486</v>
      </c>
      <c r="Z472">
        <f t="shared" si="406"/>
        <v>28.189895474845144</v>
      </c>
      <c r="AC472">
        <v>1</v>
      </c>
      <c r="AD472">
        <f t="shared" si="390"/>
        <v>145.89556266599999</v>
      </c>
      <c r="AE472">
        <f t="shared" si="391"/>
        <v>-1.1825286225349299</v>
      </c>
      <c r="AF472">
        <f t="shared" si="392"/>
        <v>0.154000871703</v>
      </c>
      <c r="AG472">
        <f t="shared" si="367"/>
        <v>14.967767186643986</v>
      </c>
      <c r="AH472">
        <f t="shared" si="368"/>
        <v>-121.42667055618591</v>
      </c>
      <c r="AJ472">
        <f t="shared" si="393"/>
        <v>10500</v>
      </c>
      <c r="AK472">
        <f t="shared" si="394"/>
        <v>3370.1874975846008</v>
      </c>
      <c r="AL472">
        <v>1</v>
      </c>
      <c r="AM472">
        <f t="shared" si="395"/>
        <v>153.5113110371652</v>
      </c>
      <c r="AN472">
        <f t="shared" si="369"/>
        <v>22.398613069306204</v>
      </c>
      <c r="AO472">
        <f t="shared" si="370"/>
        <v>-68.252960098777734</v>
      </c>
      <c r="AQ472">
        <f t="shared" si="396"/>
        <v>1.5023133371922755E-3</v>
      </c>
      <c r="AR472">
        <f t="shared" si="397"/>
        <v>-3.8759684099560707</v>
      </c>
      <c r="AT472">
        <f t="shared" si="418"/>
        <v>-470.62345292564703</v>
      </c>
      <c r="AU472">
        <f t="shared" si="419"/>
        <v>-58.197013689676552</v>
      </c>
      <c r="AV472">
        <f t="shared" si="407"/>
        <v>-3.0185578517501557</v>
      </c>
      <c r="AW472">
        <f t="shared" si="408"/>
        <v>-231.12252347509269</v>
      </c>
      <c r="AX472">
        <f t="shared" si="409"/>
        <v>-278.46917638400294</v>
      </c>
      <c r="AY472">
        <f t="shared" si="417"/>
        <v>-2.2635495057793769</v>
      </c>
      <c r="BA472">
        <f t="shared" si="398"/>
        <v>1.3103736680963738</v>
      </c>
      <c r="BB472">
        <f t="shared" si="410"/>
        <v>2.3479031474944008</v>
      </c>
      <c r="BC472">
        <f t="shared" si="411"/>
        <v>-0.75500834597077882</v>
      </c>
      <c r="BD472">
        <f t="shared" si="399"/>
        <v>-223.25879177070908</v>
      </c>
      <c r="BF472">
        <f t="shared" si="400"/>
        <v>-53.42743567497601</v>
      </c>
      <c r="BG472">
        <f t="shared" si="401"/>
        <v>-183.92774973231224</v>
      </c>
      <c r="BH472">
        <f t="shared" si="412"/>
        <v>-3.9277497323122361</v>
      </c>
      <c r="BI472">
        <f t="shared" si="413"/>
        <v>-3.9277497323122361</v>
      </c>
      <c r="BJ472">
        <f t="shared" si="402"/>
        <v>0</v>
      </c>
      <c r="BK472">
        <f t="shared" si="414"/>
        <v>0</v>
      </c>
      <c r="BM472">
        <f t="shared" si="415"/>
        <v>-55.775338822470417</v>
      </c>
      <c r="BN472">
        <f t="shared" si="403"/>
        <v>-140.66895796160313</v>
      </c>
      <c r="BQ472" s="56">
        <f t="shared" si="416"/>
        <v>19.249863947779538</v>
      </c>
    </row>
    <row r="473" spans="1:69" x14ac:dyDescent="0.2">
      <c r="A473">
        <f>A472+5000</f>
        <v>1295000</v>
      </c>
      <c r="B473">
        <f t="shared" si="404"/>
        <v>1295</v>
      </c>
      <c r="C473">
        <f t="shared" si="373"/>
        <v>1.2892101967159741</v>
      </c>
      <c r="D473">
        <f t="shared" si="374"/>
        <v>0.6830224063411745</v>
      </c>
      <c r="F473">
        <f t="shared" si="375"/>
        <v>8.3584430154932268E-5</v>
      </c>
      <c r="G473">
        <f t="shared" si="376"/>
        <v>5.3062905217354595E-3</v>
      </c>
      <c r="H473">
        <f t="shared" si="377"/>
        <v>-3.1362863594782646</v>
      </c>
      <c r="J473">
        <f t="shared" si="378"/>
        <v>15</v>
      </c>
      <c r="M473">
        <f t="shared" si="379"/>
        <v>6.1603794534117681E-4</v>
      </c>
      <c r="N473">
        <f t="shared" si="380"/>
        <v>-1.5707963250000001</v>
      </c>
      <c r="O473">
        <f t="shared" si="381"/>
        <v>146.46446318016081</v>
      </c>
      <c r="P473">
        <f t="shared" si="382"/>
        <v>1.5639686789969827</v>
      </c>
      <c r="Q473">
        <f t="shared" si="383"/>
        <v>154.10956059790098</v>
      </c>
      <c r="R473">
        <f t="shared" si="384"/>
        <v>1.5643073911709873</v>
      </c>
      <c r="S473">
        <f t="shared" si="385"/>
        <v>0.95181044258093439</v>
      </c>
      <c r="T473">
        <f t="shared" si="386"/>
        <v>-0.31171027693310283</v>
      </c>
      <c r="U473">
        <f t="shared" si="387"/>
        <v>0.12864930948861242</v>
      </c>
      <c r="V473">
        <f t="shared" si="388"/>
        <v>-1.4417894764582122</v>
      </c>
      <c r="X473">
        <f t="shared" si="405"/>
        <v>-51.206647767223515</v>
      </c>
      <c r="Y473">
        <f t="shared" si="389"/>
        <v>-151.79278989110134</v>
      </c>
      <c r="Z473">
        <f t="shared" si="406"/>
        <v>28.207210108898664</v>
      </c>
      <c r="AC473">
        <v>1</v>
      </c>
      <c r="AD473">
        <f t="shared" si="390"/>
        <v>146.46104934300001</v>
      </c>
      <c r="AE473">
        <f t="shared" si="391"/>
        <v>-1.1917132763695937</v>
      </c>
      <c r="AF473">
        <f t="shared" si="392"/>
        <v>0.15459777430650001</v>
      </c>
      <c r="AG473">
        <f t="shared" si="367"/>
        <v>14.854318353281309</v>
      </c>
      <c r="AH473">
        <f t="shared" si="368"/>
        <v>-120.97255912590155</v>
      </c>
      <c r="AJ473">
        <f t="shared" si="393"/>
        <v>10500</v>
      </c>
      <c r="AK473">
        <f t="shared" si="394"/>
        <v>3383.2502398233005</v>
      </c>
      <c r="AL473">
        <v>1</v>
      </c>
      <c r="AM473">
        <f t="shared" si="395"/>
        <v>154.10631611870463</v>
      </c>
      <c r="AN473">
        <f t="shared" si="369"/>
        <v>22.395186544826679</v>
      </c>
      <c r="AO473">
        <f t="shared" si="370"/>
        <v>-67.989457391120226</v>
      </c>
      <c r="AQ473">
        <f t="shared" si="396"/>
        <v>1.4907348592395971E-3</v>
      </c>
      <c r="AR473">
        <f t="shared" si="397"/>
        <v>-3.8610032854305563</v>
      </c>
      <c r="AT473">
        <f t="shared" si="418"/>
        <v>-467.05330438186866</v>
      </c>
      <c r="AU473">
        <f t="shared" si="419"/>
        <v>-57.532909975750954</v>
      </c>
      <c r="AV473">
        <f t="shared" si="407"/>
        <v>-3.0190273506841079</v>
      </c>
      <c r="AW473">
        <f t="shared" si="408"/>
        <v>-229.17072489022013</v>
      </c>
      <c r="AX473">
        <f t="shared" si="409"/>
        <v>-277.39082963521361</v>
      </c>
      <c r="AY473">
        <f t="shared" si="417"/>
        <v>-2.2612894485169597</v>
      </c>
      <c r="BA473">
        <f t="shared" si="398"/>
        <v>1.3078582635883382</v>
      </c>
      <c r="BB473">
        <f t="shared" si="410"/>
        <v>2.3312136155934882</v>
      </c>
      <c r="BC473">
        <f t="shared" si="411"/>
        <v>-0.7577379021671482</v>
      </c>
      <c r="BD473">
        <f t="shared" si="399"/>
        <v>-223.41518382088356</v>
      </c>
      <c r="BF473">
        <f t="shared" si="400"/>
        <v>-53.497978847916201</v>
      </c>
      <c r="BG473">
        <f t="shared" si="401"/>
        <v>-183.97685452783409</v>
      </c>
      <c r="BH473">
        <f t="shared" si="412"/>
        <v>-3.9768545278340923</v>
      </c>
      <c r="BI473">
        <f t="shared" si="413"/>
        <v>-3.9768545278340923</v>
      </c>
      <c r="BJ473">
        <f t="shared" si="402"/>
        <v>0</v>
      </c>
      <c r="BK473">
        <f t="shared" si="414"/>
        <v>0</v>
      </c>
      <c r="BM473">
        <f t="shared" si="415"/>
        <v>-55.829192463509685</v>
      </c>
      <c r="BN473">
        <f t="shared" si="403"/>
        <v>-140.56167070695054</v>
      </c>
      <c r="BQ473" s="56">
        <f t="shared" si="416"/>
        <v>19.233174415878626</v>
      </c>
    </row>
    <row r="474" spans="1:69" x14ac:dyDescent="0.2">
      <c r="A474">
        <f t="shared" ref="A474:A537" si="420">A473+5000</f>
        <v>1300000</v>
      </c>
      <c r="B474">
        <f t="shared" si="404"/>
        <v>1300</v>
      </c>
      <c r="C474">
        <f t="shared" si="373"/>
        <v>1.291195281895384</v>
      </c>
      <c r="D474">
        <f t="shared" si="374"/>
        <v>0.68490967821558058</v>
      </c>
      <c r="F474">
        <f t="shared" si="375"/>
        <v>8.2942664131078616E-5</v>
      </c>
      <c r="G474">
        <f t="shared" si="376"/>
        <v>5.2858786330392859E-3</v>
      </c>
      <c r="H474">
        <f t="shared" si="377"/>
        <v>-3.1363067713669608</v>
      </c>
      <c r="J474">
        <f t="shared" si="378"/>
        <v>15</v>
      </c>
      <c r="M474">
        <f t="shared" si="379"/>
        <v>6.1366856862832611E-4</v>
      </c>
      <c r="N474">
        <f t="shared" si="380"/>
        <v>-1.5707963250000001</v>
      </c>
      <c r="O474">
        <f t="shared" si="381"/>
        <v>147.02993672732214</v>
      </c>
      <c r="P474">
        <f t="shared" si="382"/>
        <v>1.5639949383694205</v>
      </c>
      <c r="Q474">
        <f t="shared" si="383"/>
        <v>154.70455320093544</v>
      </c>
      <c r="R474">
        <f t="shared" si="384"/>
        <v>1.5643323479191602</v>
      </c>
      <c r="S474">
        <f t="shared" si="385"/>
        <v>0.95146431044459756</v>
      </c>
      <c r="T474">
        <f t="shared" si="386"/>
        <v>-0.31283692458977019</v>
      </c>
      <c r="U474">
        <f t="shared" si="387"/>
        <v>0.12816264738494032</v>
      </c>
      <c r="V474">
        <f t="shared" si="388"/>
        <v>-1.4422802009377935</v>
      </c>
      <c r="X474">
        <f t="shared" si="405"/>
        <v>-51.262842226701096</v>
      </c>
      <c r="Y474">
        <f t="shared" si="389"/>
        <v>-151.77556082271366</v>
      </c>
      <c r="Z474">
        <f t="shared" si="406"/>
        <v>28.224439177286342</v>
      </c>
      <c r="AC474">
        <v>1</v>
      </c>
      <c r="AD474">
        <f t="shared" si="390"/>
        <v>147.02653602000004</v>
      </c>
      <c r="AE474">
        <f t="shared" si="391"/>
        <v>-1.2009334607800202</v>
      </c>
      <c r="AF474">
        <f t="shared" si="392"/>
        <v>0.15519467691</v>
      </c>
      <c r="AG474">
        <f t="shared" si="367"/>
        <v>14.742147356920118</v>
      </c>
      <c r="AH474">
        <f t="shared" si="368"/>
        <v>-120.52177572766922</v>
      </c>
      <c r="AJ474">
        <f t="shared" si="393"/>
        <v>10500</v>
      </c>
      <c r="AK474">
        <f t="shared" si="394"/>
        <v>3396.3129820620006</v>
      </c>
      <c r="AL474">
        <v>1</v>
      </c>
      <c r="AM474">
        <f t="shared" si="395"/>
        <v>154.70132120024402</v>
      </c>
      <c r="AN474">
        <f t="shared" si="369"/>
        <v>22.391799478884099</v>
      </c>
      <c r="AO474">
        <f t="shared" si="370"/>
        <v>-67.727981372305095</v>
      </c>
      <c r="AQ474">
        <f t="shared" si="396"/>
        <v>1.4792897219985618E-3</v>
      </c>
      <c r="AR474">
        <f t="shared" si="397"/>
        <v>-3.8461532771962608</v>
      </c>
      <c r="AT474">
        <f t="shared" si="418"/>
        <v>-463.52341478142245</v>
      </c>
      <c r="AU474">
        <f t="shared" si="419"/>
        <v>-56.878844993839465</v>
      </c>
      <c r="AV474">
        <f t="shared" si="407"/>
        <v>-3.019493300792516</v>
      </c>
      <c r="AW474">
        <f t="shared" si="408"/>
        <v>-227.24142340531634</v>
      </c>
      <c r="AX474">
        <f t="shared" si="409"/>
        <v>-276.32081701299683</v>
      </c>
      <c r="AY474">
        <f t="shared" si="417"/>
        <v>-2.2590369539891277</v>
      </c>
      <c r="BA474">
        <f t="shared" si="398"/>
        <v>1.3053466724941438</v>
      </c>
      <c r="BB474">
        <f t="shared" si="410"/>
        <v>2.3145173286118026</v>
      </c>
      <c r="BC474">
        <f t="shared" si="411"/>
        <v>-0.76045634680338825</v>
      </c>
      <c r="BD474">
        <f t="shared" si="399"/>
        <v>-223.57093922555805</v>
      </c>
      <c r="BF474">
        <f t="shared" si="400"/>
        <v>-53.568259264269216</v>
      </c>
      <c r="BG474">
        <f t="shared" si="401"/>
        <v>-184.02564673426335</v>
      </c>
      <c r="BH474">
        <f t="shared" si="412"/>
        <v>-4.0256467342633471</v>
      </c>
      <c r="BI474">
        <f t="shared" si="413"/>
        <v>-4.0256467342633471</v>
      </c>
      <c r="BJ474">
        <f t="shared" si="402"/>
        <v>0</v>
      </c>
      <c r="BK474">
        <f t="shared" si="414"/>
        <v>0</v>
      </c>
      <c r="BM474">
        <f t="shared" si="415"/>
        <v>-55.882776592881022</v>
      </c>
      <c r="BN474">
        <f t="shared" si="403"/>
        <v>-140.4547075087053</v>
      </c>
      <c r="BQ474" s="56">
        <f t="shared" si="416"/>
        <v>19.216478128896938</v>
      </c>
    </row>
    <row r="475" spans="1:69" x14ac:dyDescent="0.2">
      <c r="A475">
        <f t="shared" si="420"/>
        <v>1305000</v>
      </c>
      <c r="B475">
        <f t="shared" si="404"/>
        <v>1305</v>
      </c>
      <c r="C475">
        <f t="shared" si="373"/>
        <v>1.293184951919143</v>
      </c>
      <c r="D475">
        <f t="shared" si="374"/>
        <v>0.68679114933228624</v>
      </c>
      <c r="F475">
        <f t="shared" si="375"/>
        <v>8.2308261277019374E-5</v>
      </c>
      <c r="G475">
        <f t="shared" si="376"/>
        <v>5.2656231924739713E-3</v>
      </c>
      <c r="H475">
        <f t="shared" si="377"/>
        <v>-3.1363270268075261</v>
      </c>
      <c r="J475">
        <f t="shared" si="378"/>
        <v>15</v>
      </c>
      <c r="M475">
        <f t="shared" si="379"/>
        <v>6.1131734805886905E-4</v>
      </c>
      <c r="N475">
        <f t="shared" si="380"/>
        <v>-1.5707963250000001</v>
      </c>
      <c r="O475">
        <f t="shared" si="381"/>
        <v>147.5954103750918</v>
      </c>
      <c r="P475">
        <f t="shared" si="382"/>
        <v>1.5640209965298861</v>
      </c>
      <c r="Q475">
        <f t="shared" si="383"/>
        <v>155.29954589958766</v>
      </c>
      <c r="R475">
        <f t="shared" si="384"/>
        <v>1.5643571134358432</v>
      </c>
      <c r="S475">
        <f t="shared" si="385"/>
        <v>0.95111722399408727</v>
      </c>
      <c r="T475">
        <f t="shared" si="386"/>
        <v>-0.31396275169079785</v>
      </c>
      <c r="U475">
        <f t="shared" si="387"/>
        <v>0.12767962295314522</v>
      </c>
      <c r="V475">
        <f t="shared" si="388"/>
        <v>-1.4427672266104388</v>
      </c>
      <c r="X475">
        <f t="shared" si="405"/>
        <v>-51.318785478985291</v>
      </c>
      <c r="Y475">
        <f t="shared" si="389"/>
        <v>-151.75841869439515</v>
      </c>
      <c r="Z475">
        <f t="shared" si="406"/>
        <v>28.241581305604853</v>
      </c>
      <c r="AC475">
        <v>1</v>
      </c>
      <c r="AD475">
        <f t="shared" si="390"/>
        <v>147.59202269700003</v>
      </c>
      <c r="AE475">
        <f t="shared" si="391"/>
        <v>-1.2101891757662093</v>
      </c>
      <c r="AF475">
        <f t="shared" si="392"/>
        <v>0.15579157951350001</v>
      </c>
      <c r="AG475">
        <f t="shared" si="367"/>
        <v>14.631235185751171</v>
      </c>
      <c r="AH475">
        <f t="shared" si="368"/>
        <v>-120.07428455569875</v>
      </c>
      <c r="AJ475">
        <f t="shared" si="393"/>
        <v>10500</v>
      </c>
      <c r="AK475">
        <f t="shared" si="394"/>
        <v>3409.3757243007003</v>
      </c>
      <c r="AL475">
        <v>1</v>
      </c>
      <c r="AM475">
        <f t="shared" si="395"/>
        <v>155.29632628178339</v>
      </c>
      <c r="AN475">
        <f t="shared" si="369"/>
        <v>22.388451267951766</v>
      </c>
      <c r="AO475">
        <f t="shared" si="370"/>
        <v>-67.468508750944579</v>
      </c>
      <c r="AQ475">
        <f t="shared" si="396"/>
        <v>1.4679758858537183E-3</v>
      </c>
      <c r="AR475">
        <f t="shared" si="397"/>
        <v>-3.8314170620782049</v>
      </c>
      <c r="AT475">
        <f t="shared" si="418"/>
        <v>-460.03318426310477</v>
      </c>
      <c r="AU475">
        <f t="shared" si="419"/>
        <v>-56.234630284204911</v>
      </c>
      <c r="AV475">
        <f t="shared" si="407"/>
        <v>-3.0199557419266418</v>
      </c>
      <c r="AW475">
        <f t="shared" si="408"/>
        <v>-225.33427453223757</v>
      </c>
      <c r="AX475">
        <f t="shared" si="409"/>
        <v>-275.25904207581925</v>
      </c>
      <c r="AY475">
        <f t="shared" si="417"/>
        <v>-2.2567919925572193</v>
      </c>
      <c r="BA475">
        <f t="shared" si="398"/>
        <v>1.302838944339187</v>
      </c>
      <c r="BB475">
        <f t="shared" si="410"/>
        <v>2.2978146395334402</v>
      </c>
      <c r="BC475">
        <f t="shared" si="411"/>
        <v>-0.76316374936942255</v>
      </c>
      <c r="BD475">
        <f t="shared" si="399"/>
        <v>-223.72606196621194</v>
      </c>
      <c r="BF475">
        <f t="shared" si="400"/>
        <v>-53.638278782478395</v>
      </c>
      <c r="BG475">
        <f t="shared" si="401"/>
        <v>-184.074129671789</v>
      </c>
      <c r="BH475">
        <f t="shared" si="412"/>
        <v>-4.0741296717889952</v>
      </c>
      <c r="BI475">
        <f t="shared" si="413"/>
        <v>-4.0741296717889952</v>
      </c>
      <c r="BJ475">
        <f t="shared" si="402"/>
        <v>0</v>
      </c>
      <c r="BK475">
        <f t="shared" si="414"/>
        <v>0</v>
      </c>
      <c r="BM475">
        <f t="shared" si="415"/>
        <v>-55.936093422011837</v>
      </c>
      <c r="BN475">
        <f t="shared" si="403"/>
        <v>-140.34806770557702</v>
      </c>
      <c r="BQ475" s="56">
        <f t="shared" si="416"/>
        <v>19.199775439818577</v>
      </c>
    </row>
    <row r="476" spans="1:69" x14ac:dyDescent="0.2">
      <c r="A476">
        <f t="shared" si="420"/>
        <v>1310000</v>
      </c>
      <c r="B476">
        <f t="shared" si="404"/>
        <v>1310</v>
      </c>
      <c r="C476">
        <f t="shared" si="373"/>
        <v>1.2951791856573704</v>
      </c>
      <c r="D476">
        <f t="shared" si="374"/>
        <v>0.68866683313496868</v>
      </c>
      <c r="F476">
        <f t="shared" si="375"/>
        <v>8.1681109379699152E-5</v>
      </c>
      <c r="G476">
        <f t="shared" si="376"/>
        <v>5.2455224081144596E-3</v>
      </c>
      <c r="H476">
        <f t="shared" si="377"/>
        <v>-3.1363471275918857</v>
      </c>
      <c r="J476">
        <f t="shared" si="378"/>
        <v>15</v>
      </c>
      <c r="M476">
        <f t="shared" si="379"/>
        <v>6.089840757380336E-4</v>
      </c>
      <c r="N476">
        <f t="shared" si="380"/>
        <v>-1.5707963250000001</v>
      </c>
      <c r="O476">
        <f t="shared" si="381"/>
        <v>148.16088412231787</v>
      </c>
      <c r="P476">
        <f t="shared" si="382"/>
        <v>1.5640468557821927</v>
      </c>
      <c r="Q476">
        <f t="shared" si="383"/>
        <v>155.89453869276278</v>
      </c>
      <c r="R476">
        <f t="shared" si="384"/>
        <v>1.5643816899105893</v>
      </c>
      <c r="S476">
        <f t="shared" si="385"/>
        <v>0.95076918691151324</v>
      </c>
      <c r="T476">
        <f t="shared" si="386"/>
        <v>-0.31508775628147617</v>
      </c>
      <c r="U476">
        <f t="shared" si="387"/>
        <v>0.12720019590184203</v>
      </c>
      <c r="V476">
        <f t="shared" si="388"/>
        <v>-1.4432505949099947</v>
      </c>
      <c r="X476">
        <f t="shared" si="405"/>
        <v>-51.374479594118995</v>
      </c>
      <c r="Y476">
        <f t="shared" si="389"/>
        <v>-151.74136484308653</v>
      </c>
      <c r="Z476">
        <f t="shared" si="406"/>
        <v>28.258635156913471</v>
      </c>
      <c r="AC476">
        <v>1</v>
      </c>
      <c r="AD476">
        <f t="shared" si="390"/>
        <v>148.15750937400003</v>
      </c>
      <c r="AE476">
        <f t="shared" si="391"/>
        <v>-1.2194804213281614</v>
      </c>
      <c r="AF476">
        <f t="shared" si="392"/>
        <v>0.15638848211700002</v>
      </c>
      <c r="AG476">
        <f t="shared" si="367"/>
        <v>14.521563178225211</v>
      </c>
      <c r="AH476">
        <f t="shared" si="368"/>
        <v>-119.63005030593543</v>
      </c>
      <c r="AJ476">
        <f t="shared" si="393"/>
        <v>10500</v>
      </c>
      <c r="AK476">
        <f t="shared" si="394"/>
        <v>3422.4384665394</v>
      </c>
      <c r="AL476">
        <v>1</v>
      </c>
      <c r="AM476">
        <f t="shared" si="395"/>
        <v>155.89133136332282</v>
      </c>
      <c r="AN476">
        <f t="shared" si="369"/>
        <v>22.3851413199977</v>
      </c>
      <c r="AO476">
        <f t="shared" si="370"/>
        <v>-67.211016591170846</v>
      </c>
      <c r="AQ476">
        <f t="shared" si="396"/>
        <v>1.4567913500391366E-3</v>
      </c>
      <c r="AR476">
        <f t="shared" si="397"/>
        <v>-3.816793337102538</v>
      </c>
      <c r="AT476">
        <f t="shared" si="418"/>
        <v>-456.58202403730871</v>
      </c>
      <c r="AU476">
        <f t="shared" si="419"/>
        <v>-55.600081605453973</v>
      </c>
      <c r="AV476">
        <f t="shared" si="407"/>
        <v>-3.0204147133468164</v>
      </c>
      <c r="AW476">
        <f t="shared" si="408"/>
        <v>-223.44894035259318</v>
      </c>
      <c r="AX476">
        <f t="shared" si="409"/>
        <v>-274.20540986792867</v>
      </c>
      <c r="AY476">
        <f t="shared" si="417"/>
        <v>-2.2545545345859406</v>
      </c>
      <c r="BA476">
        <f t="shared" si="398"/>
        <v>1.3003351275023316</v>
      </c>
      <c r="BB476">
        <f t="shared" si="410"/>
        <v>2.2811058964181949</v>
      </c>
      <c r="BC476">
        <f t="shared" si="411"/>
        <v>-0.76586017876087586</v>
      </c>
      <c r="BD476">
        <f t="shared" si="399"/>
        <v>-223.88055599027379</v>
      </c>
      <c r="BF476">
        <f t="shared" si="400"/>
        <v>-53.708039241404506</v>
      </c>
      <c r="BG476">
        <f t="shared" si="401"/>
        <v>-184.12230662024331</v>
      </c>
      <c r="BH476">
        <f t="shared" si="412"/>
        <v>-4.1223066202433074</v>
      </c>
      <c r="BI476">
        <f t="shared" si="413"/>
        <v>-4.1223066202433074</v>
      </c>
      <c r="BJ476">
        <f t="shared" si="402"/>
        <v>0</v>
      </c>
      <c r="BK476">
        <f t="shared" si="414"/>
        <v>0</v>
      </c>
      <c r="BM476">
        <f t="shared" si="415"/>
        <v>-55.989145137822703</v>
      </c>
      <c r="BN476">
        <f t="shared" si="403"/>
        <v>-140.24175062996949</v>
      </c>
      <c r="BQ476" s="56">
        <f t="shared" si="416"/>
        <v>19.183066696703332</v>
      </c>
    </row>
    <row r="477" spans="1:69" x14ac:dyDescent="0.2">
      <c r="A477">
        <f t="shared" si="420"/>
        <v>1315000</v>
      </c>
      <c r="B477">
        <f t="shared" si="404"/>
        <v>1315</v>
      </c>
      <c r="C477">
        <f t="shared" si="373"/>
        <v>1.2971779620618058</v>
      </c>
      <c r="D477">
        <f t="shared" si="374"/>
        <v>0.69053674314761593</v>
      </c>
      <c r="F477">
        <f t="shared" si="375"/>
        <v>8.1061098355622707E-5</v>
      </c>
      <c r="G477">
        <f t="shared" si="376"/>
        <v>5.2255745152994075E-3</v>
      </c>
      <c r="H477">
        <f t="shared" si="377"/>
        <v>-3.1363670754847006</v>
      </c>
      <c r="J477">
        <f t="shared" si="378"/>
        <v>15</v>
      </c>
      <c r="M477">
        <f t="shared" si="379"/>
        <v>6.0666854693294597E-4</v>
      </c>
      <c r="N477">
        <f t="shared" si="380"/>
        <v>-1.5707963250000001</v>
      </c>
      <c r="O477">
        <f t="shared" si="381"/>
        <v>148.72635796786579</v>
      </c>
      <c r="P477">
        <f t="shared" si="382"/>
        <v>1.564072518395117</v>
      </c>
      <c r="Q477">
        <f t="shared" si="383"/>
        <v>156.48953157938266</v>
      </c>
      <c r="R477">
        <f t="shared" si="384"/>
        <v>1.5644060794996524</v>
      </c>
      <c r="S477">
        <f t="shared" si="385"/>
        <v>0.95042020288154128</v>
      </c>
      <c r="T477">
        <f t="shared" si="386"/>
        <v>-0.31621193641827844</v>
      </c>
      <c r="U477">
        <f t="shared" si="387"/>
        <v>0.1267243265273332</v>
      </c>
      <c r="V477">
        <f t="shared" si="388"/>
        <v>-1.4437303466571689</v>
      </c>
      <c r="X477">
        <f t="shared" si="405"/>
        <v>-51.429926619707317</v>
      </c>
      <c r="Y477">
        <f t="shared" si="389"/>
        <v>-151.72440056899077</v>
      </c>
      <c r="Z477">
        <f t="shared" si="406"/>
        <v>28.275599431009226</v>
      </c>
      <c r="AC477">
        <v>1</v>
      </c>
      <c r="AD477">
        <f t="shared" si="390"/>
        <v>148.72299605100002</v>
      </c>
      <c r="AE477">
        <f t="shared" si="391"/>
        <v>-1.2288071974658761</v>
      </c>
      <c r="AF477">
        <f t="shared" si="392"/>
        <v>0.1569853847205</v>
      </c>
      <c r="AG477">
        <f t="shared" si="367"/>
        <v>14.413113015382802</v>
      </c>
      <c r="AH477">
        <f t="shared" si="368"/>
        <v>-119.18903816750088</v>
      </c>
      <c r="AJ477">
        <f t="shared" si="393"/>
        <v>10500</v>
      </c>
      <c r="AK477">
        <f t="shared" si="394"/>
        <v>3435.5012087781006</v>
      </c>
      <c r="AL477">
        <v>1</v>
      </c>
      <c r="AM477">
        <f t="shared" si="395"/>
        <v>156.48633644486222</v>
      </c>
      <c r="AN477">
        <f t="shared" si="369"/>
        <v>22.381869054222928</v>
      </c>
      <c r="AO477">
        <f t="shared" si="370"/>
        <v>-66.95548230587886</v>
      </c>
      <c r="AQ477">
        <f t="shared" si="396"/>
        <v>1.4457341517537985E-3</v>
      </c>
      <c r="AR477">
        <f t="shared" si="397"/>
        <v>-3.8022808191124899</v>
      </c>
      <c r="AT477">
        <f t="shared" si="418"/>
        <v>-453.16935614303566</v>
      </c>
      <c r="AU477">
        <f t="shared" si="419"/>
        <v>-54.975018825084049</v>
      </c>
      <c r="AV477">
        <f t="shared" si="407"/>
        <v>-3.0208702537332868</v>
      </c>
      <c r="AW477">
        <f t="shared" si="408"/>
        <v>-221.58508936794379</v>
      </c>
      <c r="AX477">
        <f t="shared" si="409"/>
        <v>-273.1598268907747</v>
      </c>
      <c r="AY477">
        <f t="shared" si="417"/>
        <v>-2.2523245504461222</v>
      </c>
      <c r="BA477">
        <f t="shared" si="398"/>
        <v>1.2978352692347248</v>
      </c>
      <c r="BB477">
        <f t="shared" si="410"/>
        <v>2.2643914424694014</v>
      </c>
      <c r="BC477">
        <f t="shared" si="411"/>
        <v>-0.76854570328716454</v>
      </c>
      <c r="BD477">
        <f t="shared" si="399"/>
        <v>-224.03442521158485</v>
      </c>
      <c r="BF477">
        <f t="shared" si="400"/>
        <v>-53.777542460610931</v>
      </c>
      <c r="BG477">
        <f t="shared" si="401"/>
        <v>-184.17018081970775</v>
      </c>
      <c r="BH477">
        <f t="shared" si="412"/>
        <v>-4.1701808197077526</v>
      </c>
      <c r="BI477">
        <f t="shared" si="413"/>
        <v>-4.1701808197077526</v>
      </c>
      <c r="BJ477">
        <f t="shared" si="402"/>
        <v>0</v>
      </c>
      <c r="BK477">
        <f t="shared" si="414"/>
        <v>0</v>
      </c>
      <c r="BM477">
        <f t="shared" si="415"/>
        <v>-56.041933903080334</v>
      </c>
      <c r="BN477">
        <f t="shared" si="403"/>
        <v>-140.13575560812291</v>
      </c>
      <c r="BQ477" s="56">
        <f t="shared" si="416"/>
        <v>19.166352242754538</v>
      </c>
    </row>
    <row r="478" spans="1:69" x14ac:dyDescent="0.2">
      <c r="A478">
        <f t="shared" si="420"/>
        <v>1320000</v>
      </c>
      <c r="B478">
        <f t="shared" si="404"/>
        <v>1320</v>
      </c>
      <c r="C478">
        <f t="shared" si="373"/>
        <v>1.2991812601659198</v>
      </c>
      <c r="D478">
        <f t="shared" si="374"/>
        <v>0.69240089297259233</v>
      </c>
      <c r="F478">
        <f t="shared" si="375"/>
        <v>8.0448120202539924E-5</v>
      </c>
      <c r="G478">
        <f t="shared" si="376"/>
        <v>5.2057777761145953E-3</v>
      </c>
      <c r="H478">
        <f t="shared" si="377"/>
        <v>-3.1363868722238855</v>
      </c>
      <c r="J478">
        <f t="shared" si="378"/>
        <v>15</v>
      </c>
      <c r="M478">
        <f t="shared" si="379"/>
        <v>6.0437056001274539E-4</v>
      </c>
      <c r="N478">
        <f t="shared" si="380"/>
        <v>-1.5707963250000001</v>
      </c>
      <c r="O478">
        <f t="shared" si="381"/>
        <v>149.29183191061844</v>
      </c>
      <c r="P478">
        <f t="shared" si="382"/>
        <v>1.5640979866030631</v>
      </c>
      <c r="Q478">
        <f t="shared" si="383"/>
        <v>157.08452455838551</v>
      </c>
      <c r="R478">
        <f t="shared" si="384"/>
        <v>1.5644302843266178</v>
      </c>
      <c r="S478">
        <f t="shared" si="385"/>
        <v>0.9500702755913033</v>
      </c>
      <c r="T478">
        <f t="shared" si="386"/>
        <v>-0.31733529016886108</v>
      </c>
      <c r="U478">
        <f t="shared" si="387"/>
        <v>0.1262519757030296</v>
      </c>
      <c r="V478">
        <f t="shared" si="388"/>
        <v>-1.4442065220707665</v>
      </c>
      <c r="X478">
        <f t="shared" si="405"/>
        <v>-51.485128581225688</v>
      </c>
      <c r="Y478">
        <f t="shared" si="389"/>
        <v>-151.70752713628326</v>
      </c>
      <c r="Z478">
        <f t="shared" si="406"/>
        <v>28.292472863716739</v>
      </c>
      <c r="AC478">
        <v>1</v>
      </c>
      <c r="AD478">
        <f t="shared" si="390"/>
        <v>149.28848272800002</v>
      </c>
      <c r="AE478">
        <f t="shared" si="391"/>
        <v>-1.2381695041793535</v>
      </c>
      <c r="AF478">
        <f t="shared" si="392"/>
        <v>0.15758228732400001</v>
      </c>
      <c r="AG478">
        <f t="shared" si="367"/>
        <v>14.305866713378252</v>
      </c>
      <c r="AH478">
        <f t="shared" si="368"/>
        <v>-118.75121381430435</v>
      </c>
      <c r="AJ478">
        <f t="shared" si="393"/>
        <v>10500</v>
      </c>
      <c r="AK478">
        <f t="shared" si="394"/>
        <v>3448.5639510168003</v>
      </c>
      <c r="AL478">
        <v>1</v>
      </c>
      <c r="AM478">
        <f t="shared" si="395"/>
        <v>157.08134152640162</v>
      </c>
      <c r="AN478">
        <f t="shared" si="369"/>
        <v>22.378633900806676</v>
      </c>
      <c r="AO478">
        <f t="shared" si="370"/>
        <v>-66.701883650122483</v>
      </c>
      <c r="AQ478">
        <f t="shared" si="396"/>
        <v>1.4348023653003952E-3</v>
      </c>
      <c r="AR478">
        <f t="shared" si="397"/>
        <v>-3.7878782443930437</v>
      </c>
      <c r="AT478">
        <f t="shared" si="418"/>
        <v>-449.79461321107209</v>
      </c>
      <c r="AU478">
        <f t="shared" si="419"/>
        <v>-54.359265813255156</v>
      </c>
      <c r="AV478">
        <f t="shared" si="407"/>
        <v>-3.0213224011968247</v>
      </c>
      <c r="AW478">
        <f t="shared" si="408"/>
        <v>-219.74239635396708</v>
      </c>
      <c r="AX478">
        <f t="shared" si="409"/>
        <v>-272.12220107508858</v>
      </c>
      <c r="AY478">
        <f t="shared" si="417"/>
        <v>-2.2501020105174132</v>
      </c>
      <c r="BA478">
        <f t="shared" si="398"/>
        <v>1.2953394156783149</v>
      </c>
      <c r="BB478">
        <f t="shared" si="410"/>
        <v>2.2476716161006687</v>
      </c>
      <c r="BC478">
        <f t="shared" si="411"/>
        <v>-0.7712203906794115</v>
      </c>
      <c r="BD478">
        <f t="shared" si="399"/>
        <v>-224.18767351085256</v>
      </c>
      <c r="BF478">
        <f t="shared" si="400"/>
        <v>-53.846790240643372</v>
      </c>
      <c r="BG478">
        <f t="shared" si="401"/>
        <v>-184.2177554711069</v>
      </c>
      <c r="BH478">
        <f t="shared" si="412"/>
        <v>-4.2177554711068979</v>
      </c>
      <c r="BI478">
        <f t="shared" si="413"/>
        <v>-4.2177554711068979</v>
      </c>
      <c r="BJ478">
        <f t="shared" si="402"/>
        <v>0</v>
      </c>
      <c r="BK478">
        <f t="shared" si="414"/>
        <v>0</v>
      </c>
      <c r="BM478">
        <f t="shared" si="415"/>
        <v>-56.09446185674404</v>
      </c>
      <c r="BN478">
        <f t="shared" si="403"/>
        <v>-140.03008196025436</v>
      </c>
      <c r="BQ478" s="56">
        <f t="shared" si="416"/>
        <v>19.149632416385806</v>
      </c>
    </row>
    <row r="479" spans="1:69" x14ac:dyDescent="0.2">
      <c r="A479">
        <f t="shared" si="420"/>
        <v>1325000</v>
      </c>
      <c r="B479">
        <f t="shared" si="404"/>
        <v>1325</v>
      </c>
      <c r="C479">
        <f t="shared" si="373"/>
        <v>1.301189059085017</v>
      </c>
      <c r="D479">
        <f t="shared" si="374"/>
        <v>0.69425929628872529</v>
      </c>
      <c r="F479">
        <f t="shared" si="375"/>
        <v>7.9842068952404928E-5</v>
      </c>
      <c r="G479">
        <f t="shared" si="376"/>
        <v>5.1861304788880479E-3</v>
      </c>
      <c r="H479">
        <f t="shared" si="377"/>
        <v>-3.1364065195211124</v>
      </c>
      <c r="J479">
        <f t="shared" si="378"/>
        <v>15</v>
      </c>
      <c r="M479">
        <f t="shared" si="379"/>
        <v>6.0208991639005595E-4</v>
      </c>
      <c r="N479">
        <f t="shared" si="380"/>
        <v>-1.5707963250000001</v>
      </c>
      <c r="O479">
        <f t="shared" si="381"/>
        <v>149.85730594947537</v>
      </c>
      <c r="P479">
        <f t="shared" si="382"/>
        <v>1.5641232626067105</v>
      </c>
      <c r="Q479">
        <f t="shared" si="383"/>
        <v>157.67951762872545</v>
      </c>
      <c r="R479">
        <f t="shared" si="384"/>
        <v>1.5644543064830192</v>
      </c>
      <c r="S479">
        <f t="shared" si="385"/>
        <v>0.94971940873030702</v>
      </c>
      <c r="T479">
        <f t="shared" si="386"/>
        <v>-0.31845781561206282</v>
      </c>
      <c r="U479">
        <f t="shared" si="387"/>
        <v>0.12578310486909697</v>
      </c>
      <c r="V479">
        <f t="shared" si="388"/>
        <v>-1.4446791607786802</v>
      </c>
      <c r="X479">
        <f t="shared" si="405"/>
        <v>-51.540087482322505</v>
      </c>
      <c r="Y479">
        <f t="shared" si="389"/>
        <v>-151.69074577380746</v>
      </c>
      <c r="Z479">
        <f t="shared" si="406"/>
        <v>28.309254226192536</v>
      </c>
      <c r="AC479">
        <v>1</v>
      </c>
      <c r="AD479">
        <f t="shared" si="390"/>
        <v>149.85396940500002</v>
      </c>
      <c r="AE479">
        <f t="shared" si="391"/>
        <v>-1.2475673414685935</v>
      </c>
      <c r="AF479">
        <f t="shared" si="392"/>
        <v>0.15817918992749999</v>
      </c>
      <c r="AG479">
        <f t="shared" si="367"/>
        <v>14.19980661619201</v>
      </c>
      <c r="AH479">
        <f t="shared" si="368"/>
        <v>-118.31654339681951</v>
      </c>
      <c r="AJ479">
        <f t="shared" si="393"/>
        <v>10500</v>
      </c>
      <c r="AK479">
        <f t="shared" si="394"/>
        <v>3461.6266932555004</v>
      </c>
      <c r="AL479">
        <v>1</v>
      </c>
      <c r="AM479">
        <f t="shared" si="395"/>
        <v>157.67634660794101</v>
      </c>
      <c r="AN479">
        <f t="shared" si="369"/>
        <v>22.375435300658324</v>
      </c>
      <c r="AO479">
        <f t="shared" si="370"/>
        <v>-66.450198714660345</v>
      </c>
      <c r="AQ479">
        <f t="shared" si="396"/>
        <v>1.423994101246835E-3</v>
      </c>
      <c r="AR479">
        <f t="shared" si="397"/>
        <v>-3.7735843683041126</v>
      </c>
      <c r="AT479">
        <f t="shared" si="418"/>
        <v>-446.45723823315296</v>
      </c>
      <c r="AU479">
        <f t="shared" si="419"/>
        <v>-53.752650339680471</v>
      </c>
      <c r="AV479">
        <f t="shared" si="407"/>
        <v>-3.0217711932891085</v>
      </c>
      <c r="AW479">
        <f t="shared" si="408"/>
        <v>-217.92054221847695</v>
      </c>
      <c r="AX479">
        <f t="shared" si="409"/>
        <v>-271.09244175360487</v>
      </c>
      <c r="AY479">
        <f t="shared" si="417"/>
        <v>-2.2478868851909177</v>
      </c>
      <c r="BA479">
        <f t="shared" si="398"/>
        <v>1.2928476118840622</v>
      </c>
      <c r="BB479">
        <f t="shared" si="410"/>
        <v>2.2309467510014387</v>
      </c>
      <c r="BC479">
        <f t="shared" si="411"/>
        <v>-0.77388430809819075</v>
      </c>
      <c r="BD479">
        <f t="shared" si="399"/>
        <v>-224.3403047360944</v>
      </c>
      <c r="BF479">
        <f t="shared" si="400"/>
        <v>-53.915784363304496</v>
      </c>
      <c r="BG479">
        <f t="shared" si="401"/>
        <v>-184.26503373679077</v>
      </c>
      <c r="BH479">
        <f t="shared" si="412"/>
        <v>-4.2650337367907696</v>
      </c>
      <c r="BI479">
        <f t="shared" si="413"/>
        <v>-4.2650337367907696</v>
      </c>
      <c r="BJ479">
        <f t="shared" si="402"/>
        <v>0</v>
      </c>
      <c r="BK479">
        <f t="shared" si="414"/>
        <v>0</v>
      </c>
      <c r="BM479">
        <f t="shared" si="415"/>
        <v>-56.146731114305936</v>
      </c>
      <c r="BN479">
        <f t="shared" si="403"/>
        <v>-139.9247290006964</v>
      </c>
      <c r="BQ479" s="56">
        <f t="shared" si="416"/>
        <v>19.132907551286575</v>
      </c>
    </row>
    <row r="480" spans="1:69" x14ac:dyDescent="0.2">
      <c r="A480">
        <f t="shared" si="420"/>
        <v>1330000</v>
      </c>
      <c r="B480">
        <f t="shared" si="404"/>
        <v>1330</v>
      </c>
      <c r="C480">
        <f t="shared" si="373"/>
        <v>1.3032013380163303</v>
      </c>
      <c r="D480">
        <f t="shared" si="374"/>
        <v>0.69611196684941112</v>
      </c>
      <c r="F480">
        <f t="shared" si="375"/>
        <v>7.9242840625571049E-5</v>
      </c>
      <c r="G480">
        <f t="shared" si="376"/>
        <v>5.1666309376965421E-3</v>
      </c>
      <c r="H480">
        <f t="shared" si="377"/>
        <v>-3.1364260190623034</v>
      </c>
      <c r="J480">
        <f t="shared" si="378"/>
        <v>15</v>
      </c>
      <c r="M480">
        <f t="shared" si="379"/>
        <v>5.9982642046377743E-4</v>
      </c>
      <c r="N480">
        <f t="shared" si="380"/>
        <v>-1.5707963250000001</v>
      </c>
      <c r="O480">
        <f t="shared" si="381"/>
        <v>150.42278008335282</v>
      </c>
      <c r="P480">
        <f t="shared" si="382"/>
        <v>1.5641483485736485</v>
      </c>
      <c r="Q480">
        <f t="shared" si="383"/>
        <v>158.2745107893725</v>
      </c>
      <c r="R480">
        <f t="shared" si="384"/>
        <v>1.5644781480289407</v>
      </c>
      <c r="S480">
        <f t="shared" si="385"/>
        <v>0.94936760599034498</v>
      </c>
      <c r="T480">
        <f t="shared" si="386"/>
        <v>-0.31957951083790442</v>
      </c>
      <c r="U480">
        <f t="shared" si="387"/>
        <v>0.12531767602232247</v>
      </c>
      <c r="V480">
        <f t="shared" si="388"/>
        <v>-1.4451483018286446</v>
      </c>
      <c r="X480">
        <f t="shared" si="405"/>
        <v>-51.594805305116687</v>
      </c>
      <c r="Y480">
        <f t="shared" si="389"/>
        <v>-151.6740576757567</v>
      </c>
      <c r="Z480">
        <f t="shared" si="406"/>
        <v>28.3259423242433</v>
      </c>
      <c r="AC480">
        <v>1</v>
      </c>
      <c r="AD480">
        <f t="shared" si="390"/>
        <v>150.41945608200001</v>
      </c>
      <c r="AE480">
        <f t="shared" si="391"/>
        <v>-1.2570007093335964</v>
      </c>
      <c r="AF480">
        <f t="shared" si="392"/>
        <v>0.158776092531</v>
      </c>
      <c r="AG480">
        <f t="shared" si="367"/>
        <v>14.094915388526275</v>
      </c>
      <c r="AH480">
        <f t="shared" si="368"/>
        <v>-117.88499353402413</v>
      </c>
      <c r="AJ480">
        <f t="shared" si="393"/>
        <v>10500</v>
      </c>
      <c r="AK480">
        <f t="shared" si="394"/>
        <v>3474.6894354942001</v>
      </c>
      <c r="AL480">
        <v>1</v>
      </c>
      <c r="AM480">
        <f t="shared" si="395"/>
        <v>158.27135168948041</v>
      </c>
      <c r="AN480">
        <f t="shared" si="369"/>
        <v>22.372272705175831</v>
      </c>
      <c r="AO480">
        <f t="shared" si="370"/>
        <v>-66.200405919647082</v>
      </c>
      <c r="AQ480">
        <f t="shared" si="396"/>
        <v>1.4133075056097708E-3</v>
      </c>
      <c r="AR480">
        <f t="shared" si="397"/>
        <v>-3.7593979649219902</v>
      </c>
      <c r="AT480">
        <f t="shared" si="418"/>
        <v>-443.15668433694276</v>
      </c>
      <c r="AU480">
        <f t="shared" si="419"/>
        <v>-53.155003973533717</v>
      </c>
      <c r="AV480">
        <f t="shared" si="407"/>
        <v>-3.0222166670128758</v>
      </c>
      <c r="AW480">
        <f t="shared" si="408"/>
        <v>-216.1192138631765</v>
      </c>
      <c r="AX480">
        <f t="shared" si="409"/>
        <v>-270.07045963440697</v>
      </c>
      <c r="AY480">
        <f t="shared" si="417"/>
        <v>-2.2456791448717772</v>
      </c>
      <c r="BA480">
        <f t="shared" si="398"/>
        <v>1.2903599018298615</v>
      </c>
      <c r="BB480">
        <f t="shared" si="410"/>
        <v>2.2142171762014744</v>
      </c>
      <c r="BC480">
        <f t="shared" si="411"/>
        <v>-0.77653752214109861</v>
      </c>
      <c r="BD480">
        <f t="shared" si="399"/>
        <v>-224.49232270307158</v>
      </c>
      <c r="BF480">
        <f t="shared" si="400"/>
        <v>-53.984526591923327</v>
      </c>
      <c r="BG480">
        <f t="shared" si="401"/>
        <v>-184.31201874110519</v>
      </c>
      <c r="BH480">
        <f t="shared" si="412"/>
        <v>-4.3120187411051916</v>
      </c>
      <c r="BI480">
        <f t="shared" si="413"/>
        <v>-4.3120187411051916</v>
      </c>
      <c r="BJ480">
        <f t="shared" si="402"/>
        <v>0</v>
      </c>
      <c r="BK480">
        <f t="shared" si="414"/>
        <v>0</v>
      </c>
      <c r="BM480">
        <f t="shared" si="415"/>
        <v>-56.1987437681248</v>
      </c>
      <c r="BN480">
        <f t="shared" si="403"/>
        <v>-139.81969603803364</v>
      </c>
      <c r="BQ480" s="56">
        <f t="shared" si="416"/>
        <v>19.116177976486611</v>
      </c>
    </row>
    <row r="481" spans="1:69" x14ac:dyDescent="0.2">
      <c r="A481">
        <f t="shared" si="420"/>
        <v>1335000</v>
      </c>
      <c r="B481">
        <f t="shared" si="404"/>
        <v>1335</v>
      </c>
      <c r="C481">
        <f t="shared" si="373"/>
        <v>1.3052180762391057</v>
      </c>
      <c r="D481">
        <f t="shared" si="374"/>
        <v>0.69795891848074199</v>
      </c>
      <c r="F481">
        <f t="shared" si="375"/>
        <v>7.8650333186184427E-5</v>
      </c>
      <c r="G481">
        <f t="shared" si="376"/>
        <v>5.1472774918832143E-3</v>
      </c>
      <c r="H481">
        <f t="shared" si="377"/>
        <v>-3.1364453725081169</v>
      </c>
      <c r="J481">
        <f t="shared" si="378"/>
        <v>15</v>
      </c>
      <c r="M481">
        <f t="shared" si="379"/>
        <v>5.9757987956316405E-4</v>
      </c>
      <c r="N481">
        <f t="shared" si="380"/>
        <v>-1.5707963250000001</v>
      </c>
      <c r="O481">
        <f t="shared" si="381"/>
        <v>150.98825431118308</v>
      </c>
      <c r="P481">
        <f t="shared" si="382"/>
        <v>1.5641732466389955</v>
      </c>
      <c r="Q481">
        <f t="shared" si="383"/>
        <v>158.86950403931192</v>
      </c>
      <c r="R481">
        <f t="shared" si="384"/>
        <v>1.5645018109936055</v>
      </c>
      <c r="S481">
        <f t="shared" si="385"/>
        <v>0.9490148710654055</v>
      </c>
      <c r="T481">
        <f t="shared" si="386"/>
        <v>-0.32070037394758732</v>
      </c>
      <c r="U481">
        <f t="shared" si="387"/>
        <v>0.1248556517061955</v>
      </c>
      <c r="V481">
        <f t="shared" si="388"/>
        <v>-1.4456139836987563</v>
      </c>
      <c r="X481">
        <f t="shared" si="405"/>
        <v>-51.649284010490113</v>
      </c>
      <c r="Y481">
        <f t="shared" si="389"/>
        <v>-151.65746400234323</v>
      </c>
      <c r="Z481">
        <f t="shared" si="406"/>
        <v>28.342535997656768</v>
      </c>
      <c r="AC481">
        <v>1</v>
      </c>
      <c r="AD481">
        <f t="shared" si="390"/>
        <v>150.98494275900001</v>
      </c>
      <c r="AE481">
        <f t="shared" si="391"/>
        <v>-1.266469607774362</v>
      </c>
      <c r="AF481">
        <f t="shared" si="392"/>
        <v>0.15937299513450001</v>
      </c>
      <c r="AG481">
        <f t="shared" si="367"/>
        <v>13.991176008878465</v>
      </c>
      <c r="AH481">
        <f t="shared" si="368"/>
        <v>-117.45653130549796</v>
      </c>
      <c r="AJ481">
        <f t="shared" si="393"/>
        <v>10500</v>
      </c>
      <c r="AK481">
        <f t="shared" si="394"/>
        <v>3487.7521777329007</v>
      </c>
      <c r="AL481">
        <v>1</v>
      </c>
      <c r="AM481">
        <f t="shared" si="395"/>
        <v>158.86635677101984</v>
      </c>
      <c r="AN481">
        <f t="shared" si="369"/>
        <v>22.369145576010517</v>
      </c>
      <c r="AO481">
        <f t="shared" si="370"/>
        <v>-65.952484008466314</v>
      </c>
      <c r="AQ481">
        <f t="shared" si="396"/>
        <v>1.402740759059496E-3</v>
      </c>
      <c r="AR481">
        <f t="shared" si="397"/>
        <v>-3.7453178266888543</v>
      </c>
      <c r="AT481">
        <f t="shared" si="418"/>
        <v>-439.89241456666412</v>
      </c>
      <c r="AU481">
        <f t="shared" si="419"/>
        <v>-52.566161986273904</v>
      </c>
      <c r="AV481">
        <f t="shared" si="407"/>
        <v>-3.0226588588318601</v>
      </c>
      <c r="AW481">
        <f t="shared" si="408"/>
        <v>-214.33810404903349</v>
      </c>
      <c r="AX481">
        <f t="shared" si="409"/>
        <v>-269.05616677488001</v>
      </c>
      <c r="AY481">
        <f t="shared" si="417"/>
        <v>-2.2434787599816932</v>
      </c>
      <c r="BA481">
        <f t="shared" si="398"/>
        <v>1.2878763284381736</v>
      </c>
      <c r="BB481">
        <f t="shared" si="410"/>
        <v>2.197483216134251</v>
      </c>
      <c r="BC481">
        <f t="shared" si="411"/>
        <v>-0.77918009885016692</v>
      </c>
      <c r="BD481">
        <f t="shared" si="399"/>
        <v>-224.64373119571377</v>
      </c>
      <c r="BF481">
        <f t="shared" si="400"/>
        <v>-54.053018671619803</v>
      </c>
      <c r="BG481">
        <f t="shared" si="401"/>
        <v>-184.35871357095181</v>
      </c>
      <c r="BH481">
        <f t="shared" si="412"/>
        <v>-4.3587135709518066</v>
      </c>
      <c r="BI481">
        <f t="shared" si="413"/>
        <v>-4.3587135709518066</v>
      </c>
      <c r="BJ481">
        <f t="shared" si="402"/>
        <v>0</v>
      </c>
      <c r="BK481">
        <f t="shared" si="414"/>
        <v>0</v>
      </c>
      <c r="BM481">
        <f t="shared" si="415"/>
        <v>-56.250501887754048</v>
      </c>
      <c r="BN481">
        <f t="shared" si="403"/>
        <v>-139.71498237523807</v>
      </c>
      <c r="BQ481" s="56">
        <f t="shared" si="416"/>
        <v>19.099444016419387</v>
      </c>
    </row>
    <row r="482" spans="1:69" x14ac:dyDescent="0.2">
      <c r="A482">
        <f t="shared" si="420"/>
        <v>1340000</v>
      </c>
      <c r="B482">
        <f t="shared" si="404"/>
        <v>1340</v>
      </c>
      <c r="C482">
        <f t="shared" si="373"/>
        <v>1.3072392531146806</v>
      </c>
      <c r="D482">
        <f t="shared" si="374"/>
        <v>0.69980016507965359</v>
      </c>
      <c r="F482">
        <f t="shared" si="375"/>
        <v>7.8064446498741019E-5</v>
      </c>
      <c r="G482">
        <f t="shared" si="376"/>
        <v>5.128068505585965E-3</v>
      </c>
      <c r="H482">
        <f t="shared" si="377"/>
        <v>-3.1364645814944141</v>
      </c>
      <c r="J482">
        <f t="shared" si="378"/>
        <v>15</v>
      </c>
      <c r="M482">
        <f t="shared" si="379"/>
        <v>5.9535010389315235E-4</v>
      </c>
      <c r="N482">
        <f t="shared" si="380"/>
        <v>-1.5707963250000001</v>
      </c>
      <c r="O482">
        <f t="shared" si="381"/>
        <v>151.55372863191462</v>
      </c>
      <c r="P482">
        <f t="shared" si="382"/>
        <v>1.5641979589060047</v>
      </c>
      <c r="Q482">
        <f t="shared" si="383"/>
        <v>159.46449737754429</v>
      </c>
      <c r="R482">
        <f t="shared" si="384"/>
        <v>1.5645252973759525</v>
      </c>
      <c r="S482">
        <f t="shared" si="385"/>
        <v>0.94866120765158202</v>
      </c>
      <c r="T482">
        <f t="shared" si="386"/>
        <v>-0.32182040305349247</v>
      </c>
      <c r="U482">
        <f t="shared" si="387"/>
        <v>0.12439699500119847</v>
      </c>
      <c r="V482">
        <f t="shared" si="388"/>
        <v>-1.4460762443077662</v>
      </c>
      <c r="X482">
        <f t="shared" si="405"/>
        <v>-51.703525538374919</v>
      </c>
      <c r="Y482">
        <f t="shared" si="389"/>
        <v>-151.64096588045277</v>
      </c>
      <c r="Z482">
        <f t="shared" si="406"/>
        <v>28.359034119547232</v>
      </c>
      <c r="AC482">
        <v>1</v>
      </c>
      <c r="AD482">
        <f t="shared" si="390"/>
        <v>151.55042943600003</v>
      </c>
      <c r="AE482">
        <f t="shared" si="391"/>
        <v>-1.2759740367908903</v>
      </c>
      <c r="AF482">
        <f t="shared" si="392"/>
        <v>0.15996989773799999</v>
      </c>
      <c r="AG482">
        <f t="shared" si="367"/>
        <v>13.888571762787619</v>
      </c>
      <c r="AH482">
        <f t="shared" si="368"/>
        <v>-117.0311242436764</v>
      </c>
      <c r="AJ482">
        <f t="shared" si="393"/>
        <v>10500</v>
      </c>
      <c r="AK482">
        <f t="shared" si="394"/>
        <v>3500.8149199716004</v>
      </c>
      <c r="AL482">
        <v>1</v>
      </c>
      <c r="AM482">
        <f t="shared" si="395"/>
        <v>159.46136185255921</v>
      </c>
      <c r="AN482">
        <f t="shared" si="369"/>
        <v>22.366053384837958</v>
      </c>
      <c r="AO482">
        <f t="shared" si="370"/>
        <v>-65.706412041701782</v>
      </c>
      <c r="AQ482">
        <f t="shared" si="396"/>
        <v>1.3922920761455676E-3</v>
      </c>
      <c r="AR482">
        <f t="shared" si="397"/>
        <v>-3.7313427640701207</v>
      </c>
      <c r="AT482">
        <f t="shared" si="418"/>
        <v>-436.66390166921889</v>
      </c>
      <c r="AU482">
        <f t="shared" si="419"/>
        <v>-51.985963257293058</v>
      </c>
      <c r="AV482">
        <f t="shared" si="407"/>
        <v>-3.0230978046805133</v>
      </c>
      <c r="AW482">
        <f t="shared" si="408"/>
        <v>-212.57691126517233</v>
      </c>
      <c r="AX482">
        <f t="shared" si="409"/>
        <v>-268.04947655625602</v>
      </c>
      <c r="AY482">
        <f t="shared" si="417"/>
        <v>-2.2412857009613996</v>
      </c>
      <c r="BA482">
        <f t="shared" si="398"/>
        <v>1.2853969335933737</v>
      </c>
      <c r="BB482">
        <f t="shared" si="410"/>
        <v>2.1807451906993007</v>
      </c>
      <c r="BC482">
        <f t="shared" si="411"/>
        <v>-0.78181210371911369</v>
      </c>
      <c r="BD482">
        <f t="shared" si="399"/>
        <v>-224.7945339665346</v>
      </c>
      <c r="BF482">
        <f t="shared" si="400"/>
        <v>-54.121262329564381</v>
      </c>
      <c r="BG482">
        <f t="shared" si="401"/>
        <v>-184.40512127633647</v>
      </c>
      <c r="BH482">
        <f t="shared" si="412"/>
        <v>-4.4051212763364731</v>
      </c>
      <c r="BI482">
        <f t="shared" si="413"/>
        <v>-4.4051212763364731</v>
      </c>
      <c r="BJ482">
        <f t="shared" si="402"/>
        <v>0</v>
      </c>
      <c r="BK482">
        <f t="shared" si="414"/>
        <v>0</v>
      </c>
      <c r="BM482">
        <f t="shared" si="415"/>
        <v>-56.302007520263686</v>
      </c>
      <c r="BN482">
        <f t="shared" si="403"/>
        <v>-139.61058730980187</v>
      </c>
      <c r="BQ482" s="56">
        <f t="shared" si="416"/>
        <v>19.082705990984437</v>
      </c>
    </row>
    <row r="483" spans="1:69" x14ac:dyDescent="0.2">
      <c r="A483">
        <f t="shared" si="420"/>
        <v>1345000</v>
      </c>
      <c r="B483">
        <f t="shared" si="404"/>
        <v>1345</v>
      </c>
      <c r="C483">
        <f t="shared" si="373"/>
        <v>1.3092648480865514</v>
      </c>
      <c r="D483">
        <f t="shared" si="374"/>
        <v>0.70163572061209156</v>
      </c>
      <c r="F483">
        <f t="shared" si="375"/>
        <v>7.7485082285771873E-5</v>
      </c>
      <c r="G483">
        <f t="shared" si="376"/>
        <v>5.1090023672764034E-3</v>
      </c>
      <c r="H483">
        <f t="shared" si="377"/>
        <v>-3.136483647632724</v>
      </c>
      <c r="J483">
        <f t="shared" si="378"/>
        <v>15</v>
      </c>
      <c r="M483">
        <f t="shared" si="379"/>
        <v>5.9313690648091005E-4</v>
      </c>
      <c r="N483">
        <f t="shared" si="380"/>
        <v>-1.5707963250000001</v>
      </c>
      <c r="O483">
        <f t="shared" si="381"/>
        <v>152.11920304451129</v>
      </c>
      <c r="P483">
        <f t="shared" si="382"/>
        <v>1.5642224874466564</v>
      </c>
      <c r="Q483">
        <f t="shared" si="383"/>
        <v>160.05949080308488</v>
      </c>
      <c r="R483">
        <f t="shared" si="384"/>
        <v>1.5645486091451977</v>
      </c>
      <c r="S483">
        <f t="shared" si="385"/>
        <v>0.94830661944698502</v>
      </c>
      <c r="T483">
        <f t="shared" si="386"/>
        <v>-0.32293959627917862</v>
      </c>
      <c r="U483">
        <f t="shared" si="387"/>
        <v>0.12394166951530113</v>
      </c>
      <c r="V483">
        <f t="shared" si="388"/>
        <v>-1.4465351210251525</v>
      </c>
      <c r="X483">
        <f t="shared" si="405"/>
        <v>-51.757531808036092</v>
      </c>
      <c r="Y483">
        <f t="shared" si="389"/>
        <v>-151.62456440428699</v>
      </c>
      <c r="Z483">
        <f t="shared" si="406"/>
        <v>28.375435595713014</v>
      </c>
      <c r="AC483">
        <v>1</v>
      </c>
      <c r="AD483">
        <f t="shared" si="390"/>
        <v>152.11591611300003</v>
      </c>
      <c r="AE483">
        <f t="shared" si="391"/>
        <v>-1.2855139963831812</v>
      </c>
      <c r="AF483">
        <f t="shared" si="392"/>
        <v>0.1605668003415</v>
      </c>
      <c r="AG483">
        <f t="shared" si="367"/>
        <v>13.787086236248744</v>
      </c>
      <c r="AH483">
        <f t="shared" si="368"/>
        <v>-116.60874032625541</v>
      </c>
      <c r="AJ483">
        <f t="shared" si="393"/>
        <v>10500</v>
      </c>
      <c r="AK483">
        <f t="shared" si="394"/>
        <v>3513.8776622103001</v>
      </c>
      <c r="AL483">
        <v>1</v>
      </c>
      <c r="AM483">
        <f t="shared" si="395"/>
        <v>160.05636693409861</v>
      </c>
      <c r="AN483">
        <f t="shared" si="369"/>
        <v>22.36299561313481</v>
      </c>
      <c r="AO483">
        <f t="shared" si="370"/>
        <v>-65.462169391242725</v>
      </c>
      <c r="AQ483">
        <f t="shared" si="396"/>
        <v>1.3819597045425431E-3</v>
      </c>
      <c r="AR483">
        <f t="shared" si="397"/>
        <v>-3.7174716052194405</v>
      </c>
      <c r="AT483">
        <f t="shared" si="418"/>
        <v>-433.47062788564011</v>
      </c>
      <c r="AU483">
        <f t="shared" si="419"/>
        <v>-51.414250182294822</v>
      </c>
      <c r="AV483">
        <f t="shared" si="407"/>
        <v>-3.0235335399735179</v>
      </c>
      <c r="AW483">
        <f t="shared" si="408"/>
        <v>-210.83533960117506</v>
      </c>
      <c r="AX483">
        <f t="shared" si="409"/>
        <v>-267.05030365873341</v>
      </c>
      <c r="AY483">
        <f t="shared" si="417"/>
        <v>-2.2390999382730796</v>
      </c>
      <c r="BA483">
        <f t="shared" si="398"/>
        <v>1.2829217581588233</v>
      </c>
      <c r="BB483">
        <f t="shared" si="410"/>
        <v>2.1640034153235281</v>
      </c>
      <c r="BC483">
        <f t="shared" si="411"/>
        <v>-0.7844336017004383</v>
      </c>
      <c r="BD483">
        <f t="shared" si="399"/>
        <v>-224.9447347370382</v>
      </c>
      <c r="BF483">
        <f t="shared" si="400"/>
        <v>-54.189259275232914</v>
      </c>
      <c r="BG483">
        <f t="shared" si="401"/>
        <v>-184.45124487090732</v>
      </c>
      <c r="BH483">
        <f t="shared" si="412"/>
        <v>-4.4512448709073169</v>
      </c>
      <c r="BI483">
        <f t="shared" si="413"/>
        <v>-4.4512448709073169</v>
      </c>
      <c r="BJ483">
        <f t="shared" si="402"/>
        <v>0</v>
      </c>
      <c r="BK483">
        <f t="shared" si="414"/>
        <v>0</v>
      </c>
      <c r="BM483">
        <f t="shared" si="415"/>
        <v>-56.353262690556448</v>
      </c>
      <c r="BN483">
        <f t="shared" si="403"/>
        <v>-139.50651013386914</v>
      </c>
      <c r="BQ483" s="56">
        <f t="shared" si="416"/>
        <v>19.065964215608666</v>
      </c>
    </row>
    <row r="484" spans="1:69" x14ac:dyDescent="0.2">
      <c r="A484">
        <f t="shared" si="420"/>
        <v>1350000</v>
      </c>
      <c r="B484">
        <f t="shared" si="404"/>
        <v>1350</v>
      </c>
      <c r="C484">
        <f t="shared" si="373"/>
        <v>1.3112948406804361</v>
      </c>
      <c r="D484">
        <f t="shared" si="374"/>
        <v>0.70346559911119999</v>
      </c>
      <c r="F484">
        <f t="shared" si="375"/>
        <v>7.6912144086623951E-5</v>
      </c>
      <c r="G484">
        <f t="shared" si="376"/>
        <v>5.0900774893090231E-3</v>
      </c>
      <c r="H484">
        <f t="shared" si="377"/>
        <v>-3.136502572510691</v>
      </c>
      <c r="J484">
        <f t="shared" si="378"/>
        <v>15</v>
      </c>
      <c r="M484">
        <f t="shared" si="379"/>
        <v>5.9094010312357335E-4</v>
      </c>
      <c r="N484">
        <f t="shared" si="380"/>
        <v>-1.5707963250000001</v>
      </c>
      <c r="O484">
        <f t="shared" si="381"/>
        <v>152.68467754795248</v>
      </c>
      <c r="P484">
        <f t="shared" si="382"/>
        <v>1.5642468343022373</v>
      </c>
      <c r="Q484">
        <f t="shared" si="383"/>
        <v>160.6544843149637</v>
      </c>
      <c r="R484">
        <f t="shared" si="384"/>
        <v>1.5645717482413861</v>
      </c>
      <c r="S484">
        <f t="shared" si="385"/>
        <v>0.94795111015165168</v>
      </c>
      <c r="T484">
        <f t="shared" si="386"/>
        <v>-0.32405795175938035</v>
      </c>
      <c r="U484">
        <f t="shared" si="387"/>
        <v>0.12348963937465492</v>
      </c>
      <c r="V484">
        <f t="shared" si="388"/>
        <v>-1.4469906506809773</v>
      </c>
      <c r="X484">
        <f t="shared" si="405"/>
        <v>-51.811304718349085</v>
      </c>
      <c r="Y484">
        <f t="shared" si="389"/>
        <v>-151.60826063599319</v>
      </c>
      <c r="Z484">
        <f t="shared" si="406"/>
        <v>28.39173936400681</v>
      </c>
      <c r="AC484">
        <v>1</v>
      </c>
      <c r="AD484">
        <f t="shared" si="390"/>
        <v>152.68140279000002</v>
      </c>
      <c r="AE484">
        <f t="shared" si="391"/>
        <v>-1.295089486551235</v>
      </c>
      <c r="AF484">
        <f t="shared" si="392"/>
        <v>0.16116370294499999</v>
      </c>
      <c r="AG484">
        <f t="shared" si="367"/>
        <v>13.686703309290492</v>
      </c>
      <c r="AH484">
        <f t="shared" si="368"/>
        <v>-116.18934796874532</v>
      </c>
      <c r="AJ484">
        <f t="shared" si="393"/>
        <v>10500</v>
      </c>
      <c r="AK484">
        <f t="shared" si="394"/>
        <v>3526.9404044490007</v>
      </c>
      <c r="AL484">
        <v>1</v>
      </c>
      <c r="AM484">
        <f t="shared" si="395"/>
        <v>160.65137201563803</v>
      </c>
      <c r="AN484">
        <f t="shared" si="369"/>
        <v>22.359971751961478</v>
      </c>
      <c r="AO484">
        <f t="shared" si="370"/>
        <v>-65.219735734520398</v>
      </c>
      <c r="AQ484">
        <f t="shared" si="396"/>
        <v>1.3717419243152367E-3</v>
      </c>
      <c r="AR484">
        <f t="shared" si="397"/>
        <v>-3.7037031956511393</v>
      </c>
      <c r="AT484">
        <f t="shared" si="418"/>
        <v>-430.31208474772922</v>
      </c>
      <c r="AU484">
        <f t="shared" si="419"/>
        <v>-50.850868584315798</v>
      </c>
      <c r="AV484">
        <f t="shared" si="407"/>
        <v>-3.0239660996150981</v>
      </c>
      <c r="AW484">
        <f t="shared" si="408"/>
        <v>-209.11309862269266</v>
      </c>
      <c r="AX484">
        <f t="shared" si="409"/>
        <v>-266.05856403715882</v>
      </c>
      <c r="AY484">
        <f t="shared" si="417"/>
        <v>-2.2369214424027266</v>
      </c>
      <c r="BA484">
        <f t="shared" si="398"/>
        <v>1.2804508419936691</v>
      </c>
      <c r="BB484">
        <f t="shared" si="410"/>
        <v>2.1472582010215251</v>
      </c>
      <c r="BC484">
        <f t="shared" si="411"/>
        <v>-0.78704465721237149</v>
      </c>
      <c r="BD484">
        <f t="shared" si="399"/>
        <v>-225.09433719811727</v>
      </c>
      <c r="BF484">
        <f t="shared" si="400"/>
        <v>-54.257011200656848</v>
      </c>
      <c r="BG484">
        <f t="shared" si="401"/>
        <v>-184.49708733248252</v>
      </c>
      <c r="BH484">
        <f t="shared" si="412"/>
        <v>-4.497087332482522</v>
      </c>
      <c r="BI484">
        <f t="shared" si="413"/>
        <v>-4.497087332482522</v>
      </c>
      <c r="BJ484">
        <f t="shared" si="402"/>
        <v>0</v>
      </c>
      <c r="BK484">
        <f t="shared" si="414"/>
        <v>0</v>
      </c>
      <c r="BM484">
        <f t="shared" si="415"/>
        <v>-56.404269401678377</v>
      </c>
      <c r="BN484">
        <f t="shared" si="403"/>
        <v>-139.40275013436525</v>
      </c>
      <c r="BQ484" s="56">
        <f t="shared" si="416"/>
        <v>19.04921900130666</v>
      </c>
    </row>
    <row r="485" spans="1:69" x14ac:dyDescent="0.2">
      <c r="A485">
        <f t="shared" si="420"/>
        <v>1355000</v>
      </c>
      <c r="B485">
        <f t="shared" si="404"/>
        <v>1355</v>
      </c>
      <c r="C485">
        <f t="shared" si="373"/>
        <v>1.3133292105043264</v>
      </c>
      <c r="D485">
        <f t="shared" si="374"/>
        <v>0.70528981467552854</v>
      </c>
      <c r="F485">
        <f t="shared" si="375"/>
        <v>7.6345537217303522E-5</v>
      </c>
      <c r="G485">
        <f t="shared" si="376"/>
        <v>5.0712923074803769E-3</v>
      </c>
      <c r="H485">
        <f t="shared" si="377"/>
        <v>-3.1365213576925197</v>
      </c>
      <c r="J485">
        <f t="shared" si="378"/>
        <v>15</v>
      </c>
      <c r="M485">
        <f t="shared" si="379"/>
        <v>5.8875951233713952E-4</v>
      </c>
      <c r="N485">
        <f t="shared" si="380"/>
        <v>-1.5707963250000001</v>
      </c>
      <c r="O485">
        <f t="shared" si="381"/>
        <v>153.25015214123252</v>
      </c>
      <c r="P485">
        <f t="shared" si="382"/>
        <v>1.5642710014839061</v>
      </c>
      <c r="Q485">
        <f t="shared" si="383"/>
        <v>161.24947791222499</v>
      </c>
      <c r="R485">
        <f t="shared" si="384"/>
        <v>1.5645947165759291</v>
      </c>
      <c r="S485">
        <f t="shared" si="385"/>
        <v>0.94759468346745757</v>
      </c>
      <c r="T485">
        <f t="shared" si="386"/>
        <v>-0.32517546764000582</v>
      </c>
      <c r="U485">
        <f t="shared" si="387"/>
        <v>0.12304086921448139</v>
      </c>
      <c r="V485">
        <f t="shared" si="388"/>
        <v>-1.4474428695755333</v>
      </c>
      <c r="X485">
        <f t="shared" si="405"/>
        <v>-51.864846148072857</v>
      </c>
      <c r="Y485">
        <f t="shared" si="389"/>
        <v>-151.59205560628146</v>
      </c>
      <c r="Z485">
        <f t="shared" si="406"/>
        <v>28.407944393718537</v>
      </c>
      <c r="AC485">
        <v>1</v>
      </c>
      <c r="AD485">
        <f t="shared" si="390"/>
        <v>153.24688946700002</v>
      </c>
      <c r="AE485">
        <f t="shared" si="391"/>
        <v>-1.3047005072950513</v>
      </c>
      <c r="AF485">
        <f t="shared" si="392"/>
        <v>0.1617606055485</v>
      </c>
      <c r="AG485">
        <f t="shared" si="367"/>
        <v>13.587407149711503</v>
      </c>
      <c r="AH485">
        <f t="shared" si="368"/>
        <v>-115.77291601716969</v>
      </c>
      <c r="AJ485">
        <f t="shared" si="393"/>
        <v>10500</v>
      </c>
      <c r="AK485">
        <f t="shared" si="394"/>
        <v>3540.0031466877003</v>
      </c>
      <c r="AL485">
        <v>1</v>
      </c>
      <c r="AM485">
        <f t="shared" si="395"/>
        <v>161.2463770971774</v>
      </c>
      <c r="AN485">
        <f t="shared" si="369"/>
        <v>22.356981301750295</v>
      </c>
      <c r="AO485">
        <f t="shared" si="370"/>
        <v>-64.979091048872064</v>
      </c>
      <c r="AQ485">
        <f t="shared" si="396"/>
        <v>1.3616370472029184E-3</v>
      </c>
      <c r="AR485">
        <f t="shared" si="397"/>
        <v>-3.6900363979199087</v>
      </c>
      <c r="AT485">
        <f t="shared" si="418"/>
        <v>-427.18777287973052</v>
      </c>
      <c r="AU485">
        <f t="shared" si="419"/>
        <v>-50.295667627304333</v>
      </c>
      <c r="AV485">
        <f t="shared" si="407"/>
        <v>-3.0243955180081317</v>
      </c>
      <c r="AW485">
        <f t="shared" si="408"/>
        <v>-207.4099032502676</v>
      </c>
      <c r="AX485">
        <f t="shared" si="409"/>
        <v>-265.07417489725299</v>
      </c>
      <c r="AY485">
        <f t="shared" si="417"/>
        <v>-2.2347501838624573</v>
      </c>
      <c r="BA485">
        <f t="shared" si="398"/>
        <v>1.2779842239693775</v>
      </c>
      <c r="BB485">
        <f t="shared" si="410"/>
        <v>2.1305098544549166</v>
      </c>
      <c r="BC485">
        <f t="shared" si="411"/>
        <v>-0.78964533414567439</v>
      </c>
      <c r="BD485">
        <f t="shared" si="399"/>
        <v>-225.24334501044282</v>
      </c>
      <c r="BF485">
        <f t="shared" si="400"/>
        <v>-54.324519780668865</v>
      </c>
      <c r="BG485">
        <f t="shared" si="401"/>
        <v>-184.54265160356795</v>
      </c>
      <c r="BH485">
        <f t="shared" si="412"/>
        <v>-4.5426516035679469</v>
      </c>
      <c r="BI485">
        <f t="shared" si="413"/>
        <v>-4.5426516035679469</v>
      </c>
      <c r="BJ485">
        <f t="shared" si="402"/>
        <v>0</v>
      </c>
      <c r="BK485">
        <f t="shared" si="414"/>
        <v>0</v>
      </c>
      <c r="BM485">
        <f t="shared" si="415"/>
        <v>-56.455029635123779</v>
      </c>
      <c r="BN485">
        <f t="shared" si="403"/>
        <v>-139.29930659312512</v>
      </c>
      <c r="BQ485" s="56">
        <f t="shared" si="416"/>
        <v>19.032470654740052</v>
      </c>
    </row>
    <row r="486" spans="1:69" x14ac:dyDescent="0.2">
      <c r="A486">
        <f t="shared" si="420"/>
        <v>1360000</v>
      </c>
      <c r="B486">
        <f t="shared" si="404"/>
        <v>1360</v>
      </c>
      <c r="C486">
        <f t="shared" si="373"/>
        <v>1.3153679372485332</v>
      </c>
      <c r="D486">
        <f t="shared" si="374"/>
        <v>0.70710838146726063</v>
      </c>
      <c r="F486">
        <f t="shared" si="375"/>
        <v>7.5785168731351489E-5</v>
      </c>
      <c r="G486">
        <f t="shared" si="376"/>
        <v>5.0526452805979786E-3</v>
      </c>
      <c r="H486">
        <f t="shared" si="377"/>
        <v>-3.1365400047194023</v>
      </c>
      <c r="J486">
        <f t="shared" si="378"/>
        <v>15</v>
      </c>
      <c r="M486">
        <f t="shared" si="379"/>
        <v>5.8659495530648828E-4</v>
      </c>
      <c r="N486">
        <f t="shared" si="380"/>
        <v>-1.5707963250000001</v>
      </c>
      <c r="O486">
        <f t="shared" si="381"/>
        <v>153.81562682336062</v>
      </c>
      <c r="P486">
        <f t="shared" si="382"/>
        <v>1.5642949909732484</v>
      </c>
      <c r="Q486">
        <f t="shared" si="383"/>
        <v>161.84447159392707</v>
      </c>
      <c r="R486">
        <f t="shared" si="384"/>
        <v>1.5646175160321305</v>
      </c>
      <c r="S486">
        <f t="shared" si="385"/>
        <v>0.94723734309802865</v>
      </c>
      <c r="T486">
        <f t="shared" si="386"/>
        <v>-0.32629214207813434</v>
      </c>
      <c r="U486">
        <f t="shared" si="387"/>
        <v>0.12259532417015062</v>
      </c>
      <c r="V486">
        <f t="shared" si="388"/>
        <v>-1.447891813488783</v>
      </c>
      <c r="X486">
        <f t="shared" si="405"/>
        <v>-51.9181579561183</v>
      </c>
      <c r="Y486">
        <f t="shared" si="389"/>
        <v>-151.57595031502964</v>
      </c>
      <c r="Z486">
        <f t="shared" si="406"/>
        <v>28.424049684970356</v>
      </c>
      <c r="AC486">
        <v>1</v>
      </c>
      <c r="AD486">
        <f t="shared" si="390"/>
        <v>153.81237614400001</v>
      </c>
      <c r="AE486">
        <f t="shared" si="391"/>
        <v>-1.3143470586146306</v>
      </c>
      <c r="AF486">
        <f t="shared" si="392"/>
        <v>0.16235750815200001</v>
      </c>
      <c r="AG486">
        <f t="shared" si="367"/>
        <v>13.489182206970948</v>
      </c>
      <c r="AH486">
        <f t="shared" si="368"/>
        <v>-115.35941374090592</v>
      </c>
      <c r="AJ486">
        <f t="shared" si="393"/>
        <v>10500</v>
      </c>
      <c r="AK486">
        <f t="shared" si="394"/>
        <v>3553.0658889264005</v>
      </c>
      <c r="AL486">
        <v>1</v>
      </c>
      <c r="AM486">
        <f t="shared" si="395"/>
        <v>161.8413821787168</v>
      </c>
      <c r="AN486">
        <f t="shared" si="369"/>
        <v>22.354023772099218</v>
      </c>
      <c r="AO486">
        <f t="shared" si="370"/>
        <v>-64.740215606029224</v>
      </c>
      <c r="AQ486">
        <f t="shared" si="396"/>
        <v>1.3516434159218998E-3</v>
      </c>
      <c r="AR486">
        <f t="shared" si="397"/>
        <v>-3.6764700913075679</v>
      </c>
      <c r="AT486">
        <f t="shared" si="418"/>
        <v>-424.09720180489967</v>
      </c>
      <c r="AU486">
        <f t="shared" si="419"/>
        <v>-49.748499732174409</v>
      </c>
      <c r="AV486">
        <f t="shared" si="407"/>
        <v>-3.0248218290630682</v>
      </c>
      <c r="AW486">
        <f t="shared" si="408"/>
        <v>-205.72547364127411</v>
      </c>
      <c r="AX486">
        <f t="shared" si="409"/>
        <v>-264.09705467236955</v>
      </c>
      <c r="AY486">
        <f t="shared" si="417"/>
        <v>-2.2325861331927692</v>
      </c>
      <c r="BA486">
        <f t="shared" si="398"/>
        <v>1.2755219419860018</v>
      </c>
      <c r="BB486">
        <f t="shared" si="410"/>
        <v>2.1137586779907203</v>
      </c>
      <c r="BC486">
        <f t="shared" si="411"/>
        <v>-0.79223569587029896</v>
      </c>
      <c r="BD486">
        <f t="shared" si="399"/>
        <v>-225.39176180484566</v>
      </c>
      <c r="BF486">
        <f t="shared" si="400"/>
        <v>-54.391786673144111</v>
      </c>
      <c r="BG486">
        <f t="shared" si="401"/>
        <v>-184.58794059186485</v>
      </c>
      <c r="BH486">
        <f t="shared" si="412"/>
        <v>-4.5879405918648501</v>
      </c>
      <c r="BI486">
        <f t="shared" si="413"/>
        <v>-4.5879405918648501</v>
      </c>
      <c r="BJ486">
        <f t="shared" si="402"/>
        <v>0</v>
      </c>
      <c r="BK486">
        <f t="shared" si="414"/>
        <v>0</v>
      </c>
      <c r="BM486">
        <f t="shared" si="415"/>
        <v>-56.505545351134828</v>
      </c>
      <c r="BN486">
        <f t="shared" si="403"/>
        <v>-139.19617878701919</v>
      </c>
      <c r="BQ486" s="56">
        <f t="shared" si="416"/>
        <v>19.015719478275855</v>
      </c>
    </row>
    <row r="487" spans="1:69" x14ac:dyDescent="0.2">
      <c r="A487">
        <f t="shared" si="420"/>
        <v>1365000</v>
      </c>
      <c r="B487">
        <f t="shared" si="404"/>
        <v>1365</v>
      </c>
      <c r="C487">
        <f t="shared" si="373"/>
        <v>1.3174110006857247</v>
      </c>
      <c r="D487">
        <f t="shared" si="374"/>
        <v>0.70892131371046085</v>
      </c>
      <c r="F487">
        <f t="shared" si="375"/>
        <v>7.523094738172027E-5</v>
      </c>
      <c r="G487">
        <f t="shared" si="376"/>
        <v>5.034134890058683E-3</v>
      </c>
      <c r="H487">
        <f t="shared" si="377"/>
        <v>-3.1365585151099413</v>
      </c>
      <c r="J487">
        <f t="shared" si="378"/>
        <v>15</v>
      </c>
      <c r="M487">
        <f t="shared" si="379"/>
        <v>5.8444625583650115E-4</v>
      </c>
      <c r="N487">
        <f t="shared" si="380"/>
        <v>-1.5707963250000001</v>
      </c>
      <c r="O487">
        <f t="shared" si="381"/>
        <v>154.38110159336048</v>
      </c>
      <c r="P487">
        <f t="shared" si="382"/>
        <v>1.5643188047228171</v>
      </c>
      <c r="Q487">
        <f t="shared" si="383"/>
        <v>162.43946535914208</v>
      </c>
      <c r="R487">
        <f t="shared" si="384"/>
        <v>1.5646401484657022</v>
      </c>
      <c r="S487">
        <f t="shared" si="385"/>
        <v>0.94687909274865278</v>
      </c>
      <c r="T487">
        <f t="shared" si="386"/>
        <v>-0.32740797324201321</v>
      </c>
      <c r="U487">
        <f t="shared" si="387"/>
        <v>0.12215296986844491</v>
      </c>
      <c r="V487">
        <f t="shared" si="388"/>
        <v>-1.4483375176896021</v>
      </c>
      <c r="X487">
        <f t="shared" si="405"/>
        <v>-51.971241981812064</v>
      </c>
      <c r="Y487">
        <f t="shared" si="389"/>
        <v>-151.55994573187704</v>
      </c>
      <c r="Z487">
        <f t="shared" si="406"/>
        <v>28.440054268122964</v>
      </c>
      <c r="AC487">
        <v>1</v>
      </c>
      <c r="AD487">
        <f t="shared" si="390"/>
        <v>154.37786282100001</v>
      </c>
      <c r="AE487">
        <f t="shared" si="391"/>
        <v>-1.3240291405099724</v>
      </c>
      <c r="AF487">
        <f t="shared" si="392"/>
        <v>0.16295441075549999</v>
      </c>
      <c r="AG487">
        <f t="shared" si="367"/>
        <v>13.392013206229109</v>
      </c>
      <c r="AH487">
        <f t="shared" si="368"/>
        <v>-114.94881082566532</v>
      </c>
      <c r="AJ487">
        <f t="shared" si="393"/>
        <v>10500</v>
      </c>
      <c r="AK487">
        <f t="shared" si="394"/>
        <v>3566.1286311651002</v>
      </c>
      <c r="AL487">
        <v>1</v>
      </c>
      <c r="AM487">
        <f t="shared" si="395"/>
        <v>162.43638726025623</v>
      </c>
      <c r="AN487">
        <f t="shared" si="369"/>
        <v>22.35109868157074</v>
      </c>
      <c r="AO487">
        <f t="shared" si="370"/>
        <v>-64.503089966727089</v>
      </c>
      <c r="AQ487">
        <f t="shared" si="396"/>
        <v>1.3417594034859715E-3</v>
      </c>
      <c r="AR487">
        <f t="shared" si="397"/>
        <v>-3.663003171516702</v>
      </c>
      <c r="AT487">
        <f t="shared" si="418"/>
        <v>-421.03988975683438</v>
      </c>
      <c r="AU487">
        <f t="shared" si="419"/>
        <v>-49.20922049525565</v>
      </c>
      <c r="AV487">
        <f t="shared" si="407"/>
        <v>-3.0252450662066606</v>
      </c>
      <c r="AW487">
        <f t="shared" si="408"/>
        <v>-204.05953507488383</v>
      </c>
      <c r="AX487">
        <f t="shared" si="409"/>
        <v>-263.12712300077089</v>
      </c>
      <c r="AY487">
        <f t="shared" si="417"/>
        <v>-2.2304292609647498</v>
      </c>
      <c r="BA487">
        <f t="shared" si="398"/>
        <v>1.2730640329881986</v>
      </c>
      <c r="BB487">
        <f t="shared" si="410"/>
        <v>2.0970049697588151</v>
      </c>
      <c r="BC487">
        <f t="shared" si="411"/>
        <v>-0.79481580524191076</v>
      </c>
      <c r="BD487">
        <f t="shared" si="399"/>
        <v>-225.53959118269006</v>
      </c>
      <c r="BF487">
        <f t="shared" si="400"/>
        <v>-54.458813519236962</v>
      </c>
      <c r="BG487">
        <f t="shared" si="401"/>
        <v>-184.63295717076826</v>
      </c>
      <c r="BH487">
        <f t="shared" si="412"/>
        <v>-4.6329571707682646</v>
      </c>
      <c r="BI487">
        <f t="shared" si="413"/>
        <v>-4.6329571707682646</v>
      </c>
      <c r="BJ487">
        <f t="shared" si="402"/>
        <v>0</v>
      </c>
      <c r="BK487">
        <f t="shared" si="414"/>
        <v>0</v>
      </c>
      <c r="BM487">
        <f t="shared" si="415"/>
        <v>-56.555818488995783</v>
      </c>
      <c r="BN487">
        <f t="shared" si="403"/>
        <v>-139.0933659880782</v>
      </c>
      <c r="BQ487" s="56">
        <f t="shared" si="416"/>
        <v>18.998965770043952</v>
      </c>
    </row>
    <row r="488" spans="1:69" x14ac:dyDescent="0.2">
      <c r="A488">
        <f t="shared" si="420"/>
        <v>1370000</v>
      </c>
      <c r="B488">
        <f t="shared" si="404"/>
        <v>1370</v>
      </c>
      <c r="C488">
        <f t="shared" si="373"/>
        <v>1.3194583806709557</v>
      </c>
      <c r="D488">
        <f t="shared" si="374"/>
        <v>0.71072862568934281</v>
      </c>
      <c r="F488">
        <f t="shared" si="375"/>
        <v>7.4682783583622807E-5</v>
      </c>
      <c r="G488">
        <f t="shared" si="376"/>
        <v>5.0157596394362998E-3</v>
      </c>
      <c r="H488">
        <f t="shared" si="377"/>
        <v>-3.1365768903605638</v>
      </c>
      <c r="J488">
        <f t="shared" si="378"/>
        <v>15</v>
      </c>
      <c r="M488">
        <f t="shared" si="379"/>
        <v>5.823132403042511E-4</v>
      </c>
      <c r="N488">
        <f t="shared" si="380"/>
        <v>-1.5707963250000001</v>
      </c>
      <c r="O488">
        <f t="shared" si="381"/>
        <v>154.94657645027002</v>
      </c>
      <c r="P488">
        <f t="shared" si="382"/>
        <v>1.5643424446566629</v>
      </c>
      <c r="Q488">
        <f t="shared" si="383"/>
        <v>163.03445920695566</v>
      </c>
      <c r="R488">
        <f t="shared" si="384"/>
        <v>1.564662615705267</v>
      </c>
      <c r="S488">
        <f t="shared" si="385"/>
        <v>0.94651993612619134</v>
      </c>
      <c r="T488">
        <f t="shared" si="386"/>
        <v>-0.32852295931105502</v>
      </c>
      <c r="U488">
        <f t="shared" si="387"/>
        <v>0.12171377241900358</v>
      </c>
      <c r="V488">
        <f t="shared" si="388"/>
        <v>-1.4487800169448237</v>
      </c>
      <c r="X488">
        <f t="shared" si="405"/>
        <v>-52.024100045156125</v>
      </c>
      <c r="Y488">
        <f t="shared" si="389"/>
        <v>-151.54404279680577</v>
      </c>
      <c r="Z488">
        <f t="shared" si="406"/>
        <v>28.455957203194231</v>
      </c>
      <c r="AC488">
        <v>1</v>
      </c>
      <c r="AD488">
        <f t="shared" si="390"/>
        <v>154.943349498</v>
      </c>
      <c r="AE488">
        <f t="shared" si="391"/>
        <v>-1.3337467529810769</v>
      </c>
      <c r="AF488">
        <f t="shared" si="392"/>
        <v>0.163551313359</v>
      </c>
      <c r="AG488">
        <f t="shared" ref="AG488:AG551" si="421">AC488*AE488/(AE488^2+AF488^2)+AD488*AF488/(AE488^2+AF488^2)</f>
        <v>13.295885142533669</v>
      </c>
      <c r="AH488">
        <f t="shared" ref="AH488:AH551" si="422">AD488*AE488/(AE488^2+AF488^2)-AC488*AF488/(AE488^2+AF488^2)</f>
        <v>-114.54107736660835</v>
      </c>
      <c r="AJ488">
        <f t="shared" si="393"/>
        <v>10500</v>
      </c>
      <c r="AK488">
        <f t="shared" si="394"/>
        <v>3579.1913734038008</v>
      </c>
      <c r="AL488">
        <v>1</v>
      </c>
      <c r="AM488">
        <f t="shared" si="395"/>
        <v>163.03139234179562</v>
      </c>
      <c r="AN488">
        <f t="shared" ref="AN488:AN551" si="423">AJ488*AL488/(AL488^2+AM488^2)+AK488*AM488/(AL488^2+AM488^2)</f>
        <v>22.348205557496033</v>
      </c>
      <c r="AO488">
        <f t="shared" ref="AO488:AO551" si="424">AK488*AL488/(AL488^2+AM488^2)-AJ488*AM488/(AL488^2+AM488^2)</f>
        <v>-64.267694975432022</v>
      </c>
      <c r="AQ488">
        <f t="shared" si="396"/>
        <v>1.3319834125441669E-3</v>
      </c>
      <c r="AR488">
        <f t="shared" si="397"/>
        <v>-3.6496345503710175</v>
      </c>
      <c r="AT488">
        <f t="shared" si="418"/>
        <v>-418.01536349542863</v>
      </c>
      <c r="AU488">
        <f t="shared" si="419"/>
        <v>-48.67768860906282</v>
      </c>
      <c r="AV488">
        <f t="shared" si="407"/>
        <v>-3.0256652623905085</v>
      </c>
      <c r="AW488">
        <f t="shared" si="408"/>
        <v>-202.41181783997033</v>
      </c>
      <c r="AX488">
        <f t="shared" si="409"/>
        <v>-262.16430070340857</v>
      </c>
      <c r="AY488">
        <f t="shared" si="417"/>
        <v>-2.2282795377822366</v>
      </c>
      <c r="BA488">
        <f t="shared" si="398"/>
        <v>1.270610532980984</v>
      </c>
      <c r="BB488">
        <f t="shared" si="410"/>
        <v>2.0802490237084403</v>
      </c>
      <c r="BC488">
        <f t="shared" si="411"/>
        <v>-0.79738572460827184</v>
      </c>
      <c r="BD488">
        <f t="shared" si="399"/>
        <v>-225.68683671623975</v>
      </c>
      <c r="BF488">
        <f t="shared" si="400"/>
        <v>-54.52560194361368</v>
      </c>
      <c r="BG488">
        <f t="shared" si="401"/>
        <v>-184.67770417985562</v>
      </c>
      <c r="BH488">
        <f t="shared" si="412"/>
        <v>-4.677704179855624</v>
      </c>
      <c r="BI488">
        <f t="shared" si="413"/>
        <v>-4.677704179855624</v>
      </c>
      <c r="BJ488">
        <f t="shared" si="402"/>
        <v>0</v>
      </c>
      <c r="BK488">
        <f t="shared" si="414"/>
        <v>0</v>
      </c>
      <c r="BM488">
        <f t="shared" si="415"/>
        <v>-56.60585096732212</v>
      </c>
      <c r="BN488">
        <f t="shared" si="403"/>
        <v>-138.99086746361587</v>
      </c>
      <c r="BQ488" s="56">
        <f t="shared" si="416"/>
        <v>18.982209823993578</v>
      </c>
    </row>
    <row r="489" spans="1:69" x14ac:dyDescent="0.2">
      <c r="A489">
        <f t="shared" si="420"/>
        <v>1375000</v>
      </c>
      <c r="B489">
        <f t="shared" si="404"/>
        <v>1375</v>
      </c>
      <c r="C489">
        <f t="shared" si="373"/>
        <v>1.3215100571416911</v>
      </c>
      <c r="D489">
        <f t="shared" si="374"/>
        <v>0.712530331746557</v>
      </c>
      <c r="F489">
        <f t="shared" si="375"/>
        <v>7.4140589378325893E-5</v>
      </c>
      <c r="G489">
        <f t="shared" si="376"/>
        <v>4.9975180540782135E-3</v>
      </c>
      <c r="H489">
        <f t="shared" si="377"/>
        <v>-3.136595131945922</v>
      </c>
      <c r="J489">
        <f t="shared" si="378"/>
        <v>15</v>
      </c>
      <c r="M489">
        <f t="shared" si="379"/>
        <v>5.8019573761223565E-4</v>
      </c>
      <c r="N489">
        <f t="shared" si="380"/>
        <v>-1.5707963250000001</v>
      </c>
      <c r="O489">
        <f t="shared" si="381"/>
        <v>155.51205139314121</v>
      </c>
      <c r="P489">
        <f t="shared" si="382"/>
        <v>1.5643659126708525</v>
      </c>
      <c r="Q489">
        <f t="shared" si="383"/>
        <v>163.62945313646676</v>
      </c>
      <c r="R489">
        <f t="shared" si="384"/>
        <v>1.5646849195528507</v>
      </c>
      <c r="S489">
        <f t="shared" si="385"/>
        <v>0.94615987693899295</v>
      </c>
      <c r="T489">
        <f t="shared" si="386"/>
        <v>-0.32963709847583356</v>
      </c>
      <c r="U489">
        <f t="shared" si="387"/>
        <v>0.12127769840594363</v>
      </c>
      <c r="V489">
        <f t="shared" si="388"/>
        <v>-1.4492193455280946</v>
      </c>
      <c r="X489">
        <f t="shared" si="405"/>
        <v>-52.076733947082886</v>
      </c>
      <c r="Y489">
        <f t="shared" si="389"/>
        <v>-151.52824242071173</v>
      </c>
      <c r="Z489">
        <f t="shared" si="406"/>
        <v>28.471757579288266</v>
      </c>
      <c r="AC489">
        <v>1</v>
      </c>
      <c r="AD489">
        <f t="shared" si="390"/>
        <v>155.508836175</v>
      </c>
      <c r="AE489">
        <f t="shared" si="391"/>
        <v>-1.3434998960279445</v>
      </c>
      <c r="AF489">
        <f t="shared" si="392"/>
        <v>0.16414821596250001</v>
      </c>
      <c r="AG489">
        <f t="shared" si="421"/>
        <v>13.200783275147741</v>
      </c>
      <c r="AH489">
        <f t="shared" si="422"/>
        <v>-114.13618386159325</v>
      </c>
      <c r="AJ489">
        <f t="shared" si="393"/>
        <v>10500</v>
      </c>
      <c r="AK489">
        <f t="shared" si="394"/>
        <v>3592.2541156425004</v>
      </c>
      <c r="AL489">
        <v>1</v>
      </c>
      <c r="AM489">
        <f t="shared" si="395"/>
        <v>163.62639742333502</v>
      </c>
      <c r="AN489">
        <f t="shared" si="423"/>
        <v>22.345343935783895</v>
      </c>
      <c r="AO489">
        <f t="shared" si="424"/>
        <v>-64.03401175518384</v>
      </c>
      <c r="AQ489">
        <f t="shared" si="396"/>
        <v>1.3223138747353554E-3</v>
      </c>
      <c r="AR489">
        <f t="shared" si="397"/>
        <v>-3.6363631555222273</v>
      </c>
      <c r="AT489">
        <f t="shared" si="418"/>
        <v>-415.02315812732627</v>
      </c>
      <c r="AU489">
        <f t="shared" si="419"/>
        <v>-48.15376578531081</v>
      </c>
      <c r="AV489">
        <f t="shared" si="407"/>
        <v>-3.0260824500994272</v>
      </c>
      <c r="AW489">
        <f t="shared" si="408"/>
        <v>-200.78205712586416</v>
      </c>
      <c r="AX489">
        <f t="shared" si="409"/>
        <v>-261.20850976219435</v>
      </c>
      <c r="AY489">
        <f t="shared" si="417"/>
        <v>-2.2261369342839243</v>
      </c>
      <c r="BA489">
        <f t="shared" si="398"/>
        <v>1.2681614770452492</v>
      </c>
      <c r="BB489">
        <f t="shared" si="410"/>
        <v>2.063491129663853</v>
      </c>
      <c r="BC489">
        <f t="shared" si="411"/>
        <v>-0.79994551581550288</v>
      </c>
      <c r="BD489">
        <f t="shared" si="399"/>
        <v>-225.83350194901635</v>
      </c>
      <c r="BF489">
        <f t="shared" si="400"/>
        <v>-54.592153554680706</v>
      </c>
      <c r="BG489">
        <f t="shared" si="401"/>
        <v>-184.72218442536658</v>
      </c>
      <c r="BH489">
        <f t="shared" si="412"/>
        <v>-4.7221844253665779</v>
      </c>
      <c r="BI489">
        <f t="shared" si="413"/>
        <v>-4.7221844253665779</v>
      </c>
      <c r="BJ489">
        <f t="shared" si="402"/>
        <v>0</v>
      </c>
      <c r="BK489">
        <f t="shared" si="414"/>
        <v>0</v>
      </c>
      <c r="BM489">
        <f t="shared" si="415"/>
        <v>-56.655644684344551</v>
      </c>
      <c r="BN489">
        <f t="shared" si="403"/>
        <v>-138.88868247635023</v>
      </c>
      <c r="BQ489" s="56">
        <f t="shared" si="416"/>
        <v>18.965451929948991</v>
      </c>
    </row>
    <row r="490" spans="1:69" x14ac:dyDescent="0.2">
      <c r="A490">
        <f t="shared" si="420"/>
        <v>1380000</v>
      </c>
      <c r="B490">
        <f t="shared" si="404"/>
        <v>1380</v>
      </c>
      <c r="C490">
        <f t="shared" si="373"/>
        <v>1.323566010117821</v>
      </c>
      <c r="D490">
        <f t="shared" si="374"/>
        <v>0.71432644628149766</v>
      </c>
      <c r="F490">
        <f t="shared" si="375"/>
        <v>7.3604278397860085E-5</v>
      </c>
      <c r="G490">
        <f t="shared" si="376"/>
        <v>4.9794086807107762E-3</v>
      </c>
      <c r="H490">
        <f t="shared" si="377"/>
        <v>-3.1366132413192895</v>
      </c>
      <c r="J490">
        <f t="shared" si="378"/>
        <v>15</v>
      </c>
      <c r="M490">
        <f t="shared" si="379"/>
        <v>5.7809357914262612E-4</v>
      </c>
      <c r="N490">
        <f t="shared" si="380"/>
        <v>-1.5707963250000001</v>
      </c>
      <c r="O490">
        <f t="shared" si="381"/>
        <v>156.07752642103964</v>
      </c>
      <c r="P490">
        <f t="shared" si="382"/>
        <v>1.5643892106339743</v>
      </c>
      <c r="Q490">
        <f t="shared" si="383"/>
        <v>164.22444714678738</v>
      </c>
      <c r="R490">
        <f t="shared" si="384"/>
        <v>1.5647070617843652</v>
      </c>
      <c r="S490">
        <f t="shared" si="385"/>
        <v>0.94579891889680501</v>
      </c>
      <c r="T490">
        <f t="shared" si="386"/>
        <v>-0.33075038893808084</v>
      </c>
      <c r="U490">
        <f t="shared" si="387"/>
        <v>0.12084471487965365</v>
      </c>
      <c r="V490">
        <f t="shared" si="388"/>
        <v>-1.4496555372285438</v>
      </c>
      <c r="X490">
        <f t="shared" si="405"/>
        <v>-52.129145469706216</v>
      </c>
      <c r="Y490">
        <f t="shared" si="389"/>
        <v>-151.51254548596353</v>
      </c>
      <c r="Z490">
        <f t="shared" si="406"/>
        <v>28.487454514036472</v>
      </c>
      <c r="AC490">
        <v>1</v>
      </c>
      <c r="AD490">
        <f t="shared" si="390"/>
        <v>156.07432285200002</v>
      </c>
      <c r="AE490">
        <f t="shared" si="391"/>
        <v>-1.3532885696505739</v>
      </c>
      <c r="AF490">
        <f t="shared" si="392"/>
        <v>0.16474511856599999</v>
      </c>
      <c r="AG490">
        <f t="shared" si="421"/>
        <v>13.106693122015812</v>
      </c>
      <c r="AH490">
        <f t="shared" si="422"/>
        <v>-113.73410120455462</v>
      </c>
      <c r="AJ490">
        <f t="shared" si="393"/>
        <v>10500</v>
      </c>
      <c r="AK490">
        <f t="shared" si="394"/>
        <v>3605.3168578812006</v>
      </c>
      <c r="AL490">
        <v>1</v>
      </c>
      <c r="AM490">
        <f t="shared" si="395"/>
        <v>164.22140250487442</v>
      </c>
      <c r="AN490">
        <f t="shared" si="423"/>
        <v>22.342513360734724</v>
      </c>
      <c r="AO490">
        <f t="shared" si="424"/>
        <v>-63.802021702550419</v>
      </c>
      <c r="AQ490">
        <f t="shared" si="396"/>
        <v>1.3127492500591721E-3</v>
      </c>
      <c r="AR490">
        <f t="shared" si="397"/>
        <v>-3.6231879301633154</v>
      </c>
      <c r="AT490">
        <f t="shared" si="418"/>
        <v>-412.06281693074862</v>
      </c>
      <c r="AU490">
        <f t="shared" si="419"/>
        <v>-47.637316680104661</v>
      </c>
      <c r="AV490">
        <f t="shared" si="407"/>
        <v>-3.0264966613596376</v>
      </c>
      <c r="AW490">
        <f t="shared" si="408"/>
        <v>-199.16999291587899</v>
      </c>
      <c r="AX490">
        <f t="shared" si="409"/>
        <v>-260.25967329875067</v>
      </c>
      <c r="AY490">
        <f t="shared" si="417"/>
        <v>-2.2240014211454273</v>
      </c>
      <c r="BA490">
        <f t="shared" si="398"/>
        <v>1.2657168993530292</v>
      </c>
      <c r="BB490">
        <f t="shared" si="410"/>
        <v>2.0467315733790938</v>
      </c>
      <c r="BC490">
        <f t="shared" si="411"/>
        <v>-0.80249524021421026</v>
      </c>
      <c r="BD490">
        <f t="shared" si="399"/>
        <v>-225.97959039615077</v>
      </c>
      <c r="BF490">
        <f t="shared" si="400"/>
        <v>-54.658469944809042</v>
      </c>
      <c r="BG490">
        <f t="shared" si="401"/>
        <v>-184.76640068067397</v>
      </c>
      <c r="BH490">
        <f t="shared" si="412"/>
        <v>-4.7664006806739678</v>
      </c>
      <c r="BI490">
        <f t="shared" si="413"/>
        <v>-4.7664006806739678</v>
      </c>
      <c r="BJ490">
        <f t="shared" si="402"/>
        <v>0</v>
      </c>
      <c r="BK490">
        <f t="shared" si="414"/>
        <v>0</v>
      </c>
      <c r="BM490">
        <f t="shared" si="415"/>
        <v>-56.705201518188126</v>
      </c>
      <c r="BN490">
        <f t="shared" si="403"/>
        <v>-138.7868102845232</v>
      </c>
      <c r="BQ490" s="56">
        <f t="shared" si="416"/>
        <v>18.94869237366423</v>
      </c>
    </row>
    <row r="491" spans="1:69" x14ac:dyDescent="0.2">
      <c r="A491">
        <f t="shared" si="420"/>
        <v>1385000</v>
      </c>
      <c r="B491">
        <f t="shared" si="404"/>
        <v>1385</v>
      </c>
      <c r="C491">
        <f t="shared" si="373"/>
        <v>1.3256262197016688</v>
      </c>
      <c r="D491">
        <f t="shared" si="374"/>
        <v>0.71611698374863042</v>
      </c>
      <c r="F491">
        <f t="shared" si="375"/>
        <v>7.3073765830620121E-5</v>
      </c>
      <c r="G491">
        <f t="shared" si="376"/>
        <v>4.9614300870532485E-3</v>
      </c>
      <c r="H491">
        <f t="shared" si="377"/>
        <v>-3.1366312199129469</v>
      </c>
      <c r="J491">
        <f t="shared" si="378"/>
        <v>15</v>
      </c>
      <c r="M491">
        <f t="shared" si="379"/>
        <v>5.7600659871250828E-4</v>
      </c>
      <c r="N491">
        <f t="shared" si="380"/>
        <v>-1.5707963250000001</v>
      </c>
      <c r="O491">
        <f t="shared" si="381"/>
        <v>156.64300153304455</v>
      </c>
      <c r="P491">
        <f t="shared" si="382"/>
        <v>1.5644123403876367</v>
      </c>
      <c r="Q491">
        <f t="shared" si="383"/>
        <v>164.81944123704241</v>
      </c>
      <c r="R491">
        <f t="shared" si="384"/>
        <v>1.5647290441500785</v>
      </c>
      <c r="S491">
        <f t="shared" si="385"/>
        <v>0.94543706571068697</v>
      </c>
      <c r="T491">
        <f t="shared" si="386"/>
        <v>-0.33186282891068236</v>
      </c>
      <c r="U491">
        <f t="shared" si="387"/>
        <v>0.12041478934875524</v>
      </c>
      <c r="V491">
        <f t="shared" si="388"/>
        <v>-1.450088625359272</v>
      </c>
      <c r="X491">
        <f t="shared" si="405"/>
        <v>-52.18133637656809</v>
      </c>
      <c r="Y491">
        <f t="shared" si="389"/>
        <v>-151.49695284695167</v>
      </c>
      <c r="Z491">
        <f t="shared" si="406"/>
        <v>28.503047153048328</v>
      </c>
      <c r="AC491">
        <v>1</v>
      </c>
      <c r="AD491">
        <f t="shared" si="390"/>
        <v>156.63980952900002</v>
      </c>
      <c r="AE491">
        <f t="shared" si="391"/>
        <v>-1.3631127738489668</v>
      </c>
      <c r="AF491">
        <f t="shared" si="392"/>
        <v>0.1653420211695</v>
      </c>
      <c r="AG491">
        <f t="shared" si="421"/>
        <v>13.013600454363576</v>
      </c>
      <c r="AH491">
        <f t="shared" si="422"/>
        <v>-113.33480067900864</v>
      </c>
      <c r="AJ491">
        <f t="shared" si="393"/>
        <v>10500</v>
      </c>
      <c r="AK491">
        <f t="shared" si="394"/>
        <v>3618.3796001199003</v>
      </c>
      <c r="AL491">
        <v>1</v>
      </c>
      <c r="AM491">
        <f t="shared" si="395"/>
        <v>164.81640758641382</v>
      </c>
      <c r="AN491">
        <f t="shared" si="423"/>
        <v>22.339713384859039</v>
      </c>
      <c r="AO491">
        <f t="shared" si="424"/>
        <v>-63.571706482691454</v>
      </c>
      <c r="AQ491">
        <f t="shared" si="396"/>
        <v>1.3032880262628178E-3</v>
      </c>
      <c r="AR491">
        <f t="shared" si="397"/>
        <v>-3.610107832748005</v>
      </c>
      <c r="AT491">
        <f t="shared" si="418"/>
        <v>-409.13389118457229</v>
      </c>
      <c r="AU491">
        <f t="shared" si="419"/>
        <v>-47.128208821234779</v>
      </c>
      <c r="AV491">
        <f t="shared" si="407"/>
        <v>-3.026907927746787</v>
      </c>
      <c r="AW491">
        <f t="shared" si="408"/>
        <v>-197.57536988352666</v>
      </c>
      <c r="AX491">
        <f t="shared" si="409"/>
        <v>-259.31771555362661</v>
      </c>
      <c r="AY491">
        <f t="shared" si="417"/>
        <v>-2.2218729690812924</v>
      </c>
      <c r="BA491">
        <f t="shared" si="398"/>
        <v>1.2632768331825273</v>
      </c>
      <c r="BB491">
        <f t="shared" si="410"/>
        <v>2.0299706365918562</v>
      </c>
      <c r="BC491">
        <f t="shared" si="411"/>
        <v>-0.80503495866549457</v>
      </c>
      <c r="BD491">
        <f t="shared" si="399"/>
        <v>-226.12510554472715</v>
      </c>
      <c r="BF491">
        <f t="shared" si="400"/>
        <v>-54.724552690554525</v>
      </c>
      <c r="BG491">
        <f t="shared" si="401"/>
        <v>-184.81035568674568</v>
      </c>
      <c r="BH491">
        <f t="shared" si="412"/>
        <v>-4.8103556867456803</v>
      </c>
      <c r="BI491">
        <f t="shared" si="413"/>
        <v>-4.8103556867456803</v>
      </c>
      <c r="BJ491">
        <f t="shared" si="402"/>
        <v>0</v>
      </c>
      <c r="BK491">
        <f t="shared" si="414"/>
        <v>0</v>
      </c>
      <c r="BM491">
        <f t="shared" si="415"/>
        <v>-56.754523327146387</v>
      </c>
      <c r="BN491">
        <f t="shared" si="403"/>
        <v>-138.68525014201853</v>
      </c>
      <c r="BQ491" s="56">
        <f t="shared" si="416"/>
        <v>18.931931436876994</v>
      </c>
    </row>
    <row r="492" spans="1:69" x14ac:dyDescent="0.2">
      <c r="A492">
        <f t="shared" si="420"/>
        <v>1390000</v>
      </c>
      <c r="B492">
        <f t="shared" si="404"/>
        <v>1390</v>
      </c>
      <c r="C492">
        <f t="shared" si="373"/>
        <v>1.3276906660779926</v>
      </c>
      <c r="D492">
        <f t="shared" si="374"/>
        <v>0.7179019586558385</v>
      </c>
      <c r="F492">
        <f t="shared" si="375"/>
        <v>7.2548968387829937E-5</v>
      </c>
      <c r="G492">
        <f t="shared" si="376"/>
        <v>4.9435808614400802E-3</v>
      </c>
      <c r="H492">
        <f t="shared" si="377"/>
        <v>-3.13664906913856</v>
      </c>
      <c r="J492">
        <f t="shared" si="378"/>
        <v>15</v>
      </c>
      <c r="M492">
        <f t="shared" si="379"/>
        <v>5.7393463253008919E-4</v>
      </c>
      <c r="N492">
        <f t="shared" si="380"/>
        <v>-1.5707963250000001</v>
      </c>
      <c r="O492">
        <f t="shared" si="381"/>
        <v>157.20847672824831</v>
      </c>
      <c r="P492">
        <f t="shared" si="382"/>
        <v>1.5644353037469507</v>
      </c>
      <c r="Q492">
        <f t="shared" si="383"/>
        <v>165.41443540636925</v>
      </c>
      <c r="R492">
        <f t="shared" si="384"/>
        <v>1.5647508683750766</v>
      </c>
      <c r="S492">
        <f t="shared" si="385"/>
        <v>0.94507432109292444</v>
      </c>
      <c r="T492">
        <f t="shared" si="386"/>
        <v>-0.33297441661767319</v>
      </c>
      <c r="U492">
        <f t="shared" si="387"/>
        <v>0.11998788977222928</v>
      </c>
      <c r="V492">
        <f t="shared" si="388"/>
        <v>-1.4505186427656624</v>
      </c>
      <c r="X492">
        <f t="shared" si="405"/>
        <v>-52.233308412881456</v>
      </c>
      <c r="Y492">
        <f t="shared" si="389"/>
        <v>-151.48146533062624</v>
      </c>
      <c r="Z492">
        <f t="shared" si="406"/>
        <v>28.518534669373764</v>
      </c>
      <c r="AC492">
        <v>1</v>
      </c>
      <c r="AD492">
        <f t="shared" si="390"/>
        <v>157.20529620600001</v>
      </c>
      <c r="AE492">
        <f t="shared" si="391"/>
        <v>-1.3729725086231224</v>
      </c>
      <c r="AF492">
        <f t="shared" si="392"/>
        <v>0.16593892377299999</v>
      </c>
      <c r="AG492">
        <f t="shared" si="421"/>
        <v>12.921491291428291</v>
      </c>
      <c r="AH492">
        <f t="shared" si="422"/>
        <v>-112.93825395168354</v>
      </c>
      <c r="AJ492">
        <f t="shared" si="393"/>
        <v>10500</v>
      </c>
      <c r="AK492">
        <f t="shared" si="394"/>
        <v>3631.4423423586004</v>
      </c>
      <c r="AL492">
        <v>1</v>
      </c>
      <c r="AM492">
        <f t="shared" si="395"/>
        <v>165.41141266795321</v>
      </c>
      <c r="AN492">
        <f t="shared" si="423"/>
        <v>22.336943568700665</v>
      </c>
      <c r="AO492">
        <f t="shared" si="424"/>
        <v>-63.34304802452872</v>
      </c>
      <c r="AQ492">
        <f t="shared" si="396"/>
        <v>1.2939287182432693E-3</v>
      </c>
      <c r="AR492">
        <f t="shared" si="397"/>
        <v>-3.5971218367162883</v>
      </c>
      <c r="AT492">
        <f t="shared" si="418"/>
        <v>-406.23594000154594</v>
      </c>
      <c r="AU492">
        <f t="shared" si="419"/>
        <v>-46.626312537512391</v>
      </c>
      <c r="AV492">
        <f t="shared" si="407"/>
        <v>-3.0273162803938041</v>
      </c>
      <c r="AW492">
        <f t="shared" si="408"/>
        <v>-195.99793729134444</v>
      </c>
      <c r="AX492">
        <f t="shared" si="409"/>
        <v>-258.3825618659688</v>
      </c>
      <c r="AY492">
        <f t="shared" si="417"/>
        <v>-2.2197515488469666</v>
      </c>
      <c r="BA492">
        <f t="shared" si="398"/>
        <v>1.2608413109329157</v>
      </c>
      <c r="BB492">
        <f t="shared" si="410"/>
        <v>2.013208597076606</v>
      </c>
      <c r="BC492">
        <f t="shared" si="411"/>
        <v>-0.8075647315468375</v>
      </c>
      <c r="BD492">
        <f t="shared" si="399"/>
        <v>-226.27005085412037</v>
      </c>
      <c r="BF492">
        <f t="shared" si="400"/>
        <v>-54.790403352874264</v>
      </c>
      <c r="BG492">
        <f t="shared" si="401"/>
        <v>-184.85405215259863</v>
      </c>
      <c r="BH492">
        <f t="shared" si="412"/>
        <v>-4.8540521525986264</v>
      </c>
      <c r="BI492">
        <f t="shared" si="413"/>
        <v>-4.8540521525986264</v>
      </c>
      <c r="BJ492">
        <f t="shared" si="402"/>
        <v>0</v>
      </c>
      <c r="BK492">
        <f t="shared" si="414"/>
        <v>0</v>
      </c>
      <c r="BM492">
        <f t="shared" si="415"/>
        <v>-56.803611949950877</v>
      </c>
      <c r="BN492">
        <f t="shared" si="403"/>
        <v>-138.58400129847828</v>
      </c>
      <c r="BQ492" s="56">
        <f t="shared" si="416"/>
        <v>18.915169397361741</v>
      </c>
    </row>
    <row r="493" spans="1:69" x14ac:dyDescent="0.2">
      <c r="A493">
        <f t="shared" si="420"/>
        <v>1395000</v>
      </c>
      <c r="B493">
        <f t="shared" si="404"/>
        <v>1395</v>
      </c>
      <c r="C493">
        <f t="shared" si="373"/>
        <v>1.3297593295139791</v>
      </c>
      <c r="D493">
        <f t="shared" si="374"/>
        <v>0.71968138556278916</v>
      </c>
      <c r="F493">
        <f t="shared" si="375"/>
        <v>7.202980427084793E-5</v>
      </c>
      <c r="G493">
        <f t="shared" si="376"/>
        <v>4.9258596124513157E-3</v>
      </c>
      <c r="H493">
        <f t="shared" si="377"/>
        <v>-3.1366667903875487</v>
      </c>
      <c r="J493">
        <f t="shared" si="378"/>
        <v>15</v>
      </c>
      <c r="M493">
        <f t="shared" si="379"/>
        <v>5.7187751915184525E-4</v>
      </c>
      <c r="N493">
        <f t="shared" si="380"/>
        <v>-1.5707963250000001</v>
      </c>
      <c r="O493">
        <f t="shared" si="381"/>
        <v>157.7739520057564</v>
      </c>
      <c r="P493">
        <f t="shared" si="382"/>
        <v>1.5644581025010067</v>
      </c>
      <c r="Q493">
        <f t="shared" si="383"/>
        <v>166.00942965391772</v>
      </c>
      <c r="R493">
        <f t="shared" si="384"/>
        <v>1.5647725361597145</v>
      </c>
      <c r="S493">
        <f t="shared" si="385"/>
        <v>0.94471068875694264</v>
      </c>
      <c r="T493">
        <f t="shared" si="386"/>
        <v>-0.33408515029423314</v>
      </c>
      <c r="U493">
        <f t="shared" si="387"/>
        <v>0.11956398455170215</v>
      </c>
      <c r="V493">
        <f t="shared" si="388"/>
        <v>-1.4509456218335193</v>
      </c>
      <c r="X493">
        <f t="shared" si="405"/>
        <v>-52.285063305768929</v>
      </c>
      <c r="Y493">
        <f t="shared" si="389"/>
        <v>-151.466083737025</v>
      </c>
      <c r="Z493">
        <f t="shared" si="406"/>
        <v>28.533916262974998</v>
      </c>
      <c r="AC493">
        <v>1</v>
      </c>
      <c r="AD493">
        <f t="shared" si="390"/>
        <v>157.77078288300001</v>
      </c>
      <c r="AE493">
        <f t="shared" si="391"/>
        <v>-1.3828677739730406</v>
      </c>
      <c r="AF493">
        <f t="shared" si="392"/>
        <v>0.1665358263765</v>
      </c>
      <c r="AG493">
        <f t="shared" si="421"/>
        <v>12.830351895315816</v>
      </c>
      <c r="AH493">
        <f t="shared" si="422"/>
        <v>-112.5444330662712</v>
      </c>
      <c r="AJ493">
        <f t="shared" si="393"/>
        <v>10500</v>
      </c>
      <c r="AK493">
        <f t="shared" si="394"/>
        <v>3644.5050845973005</v>
      </c>
      <c r="AL493">
        <v>1</v>
      </c>
      <c r="AM493">
        <f t="shared" si="395"/>
        <v>166.00641774949261</v>
      </c>
      <c r="AN493">
        <f t="shared" si="423"/>
        <v>22.334203480664247</v>
      </c>
      <c r="AO493">
        <f t="shared" si="424"/>
        <v>-63.116028516020194</v>
      </c>
      <c r="AQ493">
        <f t="shared" si="396"/>
        <v>1.2846698674644638E-3</v>
      </c>
      <c r="AR493">
        <f t="shared" si="397"/>
        <v>-3.5842289302258541</v>
      </c>
      <c r="AT493">
        <f t="shared" si="418"/>
        <v>-403.3685301655276</v>
      </c>
      <c r="AU493">
        <f t="shared" si="419"/>
        <v>-46.131500890080183</v>
      </c>
      <c r="AV493">
        <f t="shared" si="407"/>
        <v>-3.027721749998586</v>
      </c>
      <c r="AW493">
        <f t="shared" si="408"/>
        <v>-194.43744889225988</v>
      </c>
      <c r="AX493">
        <f t="shared" si="409"/>
        <v>-257.45413865363446</v>
      </c>
      <c r="AY493">
        <f t="shared" si="417"/>
        <v>-2.2176371312407159</v>
      </c>
      <c r="BA493">
        <f t="shared" si="398"/>
        <v>1.258410364138898</v>
      </c>
      <c r="BB493">
        <f t="shared" si="410"/>
        <v>1.9964457286968171</v>
      </c>
      <c r="BC493">
        <f t="shared" si="411"/>
        <v>-0.81008461875787008</v>
      </c>
      <c r="BD493">
        <f t="shared" si="399"/>
        <v>-226.41442975632651</v>
      </c>
      <c r="BF493">
        <f t="shared" si="400"/>
        <v>-54.85602347733915</v>
      </c>
      <c r="BG493">
        <f t="shared" si="401"/>
        <v>-184.89749275574388</v>
      </c>
      <c r="BH493">
        <f t="shared" si="412"/>
        <v>-4.8974927557438832</v>
      </c>
      <c r="BI493">
        <f t="shared" si="413"/>
        <v>-4.8974927557438832</v>
      </c>
      <c r="BJ493">
        <f t="shared" si="402"/>
        <v>0</v>
      </c>
      <c r="BK493">
        <f t="shared" si="414"/>
        <v>0</v>
      </c>
      <c r="BM493">
        <f t="shared" si="415"/>
        <v>-56.852469206035963</v>
      </c>
      <c r="BN493">
        <f t="shared" si="403"/>
        <v>-138.4830629994174</v>
      </c>
      <c r="BQ493" s="56">
        <f t="shared" si="416"/>
        <v>18.898406528981951</v>
      </c>
    </row>
    <row r="494" spans="1:69" x14ac:dyDescent="0.2">
      <c r="A494">
        <f t="shared" si="420"/>
        <v>1400000</v>
      </c>
      <c r="B494">
        <f t="shared" si="404"/>
        <v>1400</v>
      </c>
      <c r="C494">
        <f t="shared" si="373"/>
        <v>1.3318321903592312</v>
      </c>
      <c r="D494">
        <f t="shared" si="374"/>
        <v>0.72145527907931928</v>
      </c>
      <c r="F494">
        <f t="shared" si="375"/>
        <v>7.1516193139287886E-5</v>
      </c>
      <c r="G494">
        <f t="shared" si="376"/>
        <v>4.9082649685509233E-3</v>
      </c>
      <c r="H494">
        <f t="shared" si="377"/>
        <v>-3.1366843850314492</v>
      </c>
      <c r="J494">
        <f t="shared" si="378"/>
        <v>15</v>
      </c>
      <c r="M494">
        <f t="shared" si="379"/>
        <v>5.6983509944058856E-4</v>
      </c>
      <c r="N494">
        <f t="shared" si="380"/>
        <v>-1.5707963250000001</v>
      </c>
      <c r="O494">
        <f t="shared" si="381"/>
        <v>158.33942736468697</v>
      </c>
      <c r="P494">
        <f t="shared" si="382"/>
        <v>1.5644807384133381</v>
      </c>
      <c r="Q494">
        <f t="shared" si="383"/>
        <v>166.60442397884972</v>
      </c>
      <c r="R494">
        <f t="shared" si="384"/>
        <v>1.564794049180058</v>
      </c>
      <c r="S494">
        <f t="shared" si="385"/>
        <v>0.94434617241721985</v>
      </c>
      <c r="T494">
        <f t="shared" si="386"/>
        <v>-0.33519502818668184</v>
      </c>
      <c r="U494">
        <f t="shared" si="387"/>
        <v>0.11914304252388899</v>
      </c>
      <c r="V494">
        <f t="shared" si="388"/>
        <v>-1.4513695944970384</v>
      </c>
      <c r="X494">
        <f t="shared" si="405"/>
        <v>-52.336602764497684</v>
      </c>
      <c r="Y494">
        <f t="shared" si="389"/>
        <v>-151.45080883979074</v>
      </c>
      <c r="Z494">
        <f t="shared" si="406"/>
        <v>28.549191160209261</v>
      </c>
      <c r="AC494">
        <v>1</v>
      </c>
      <c r="AD494">
        <f t="shared" si="390"/>
        <v>158.33626956000001</v>
      </c>
      <c r="AE494">
        <f t="shared" si="391"/>
        <v>-1.3927985698987213</v>
      </c>
      <c r="AF494">
        <f t="shared" si="392"/>
        <v>0.16713272898000001</v>
      </c>
      <c r="AG494">
        <f t="shared" si="421"/>
        <v>12.740168765981016</v>
      </c>
      <c r="AH494">
        <f t="shared" si="422"/>
        <v>-112.1533104372979</v>
      </c>
      <c r="AJ494">
        <f t="shared" si="393"/>
        <v>10500</v>
      </c>
      <c r="AK494">
        <f t="shared" si="394"/>
        <v>3657.5678268360002</v>
      </c>
      <c r="AL494">
        <v>1</v>
      </c>
      <c r="AM494">
        <f t="shared" si="395"/>
        <v>166.60142283103201</v>
      </c>
      <c r="AN494">
        <f t="shared" si="423"/>
        <v>22.331492696847153</v>
      </c>
      <c r="AO494">
        <f t="shared" si="424"/>
        <v>-62.890630399535397</v>
      </c>
      <c r="AQ494">
        <f t="shared" si="396"/>
        <v>1.2755100413890253E-3</v>
      </c>
      <c r="AR494">
        <f t="shared" si="397"/>
        <v>-3.5714281158892711</v>
      </c>
      <c r="AT494">
        <f t="shared" si="418"/>
        <v>-400.5312359726334</v>
      </c>
      <c r="AU494">
        <f t="shared" si="419"/>
        <v>-45.643649605636718</v>
      </c>
      <c r="AV494">
        <f t="shared" si="407"/>
        <v>-3.028124366831535</v>
      </c>
      <c r="AW494">
        <f t="shared" si="408"/>
        <v>-192.89366283342019</v>
      </c>
      <c r="AX494">
        <f t="shared" si="409"/>
        <v>-256.53237339373641</v>
      </c>
      <c r="AY494">
        <f t="shared" si="417"/>
        <v>-2.215529687105501</v>
      </c>
      <c r="BA494">
        <f t="shared" si="398"/>
        <v>1.2559840234850419</v>
      </c>
      <c r="BB494">
        <f t="shared" si="410"/>
        <v>1.9796823014564096</v>
      </c>
      <c r="BC494">
        <f t="shared" si="411"/>
        <v>-0.81259467972603394</v>
      </c>
      <c r="BD494">
        <f t="shared" si="399"/>
        <v>-226.55824565628714</v>
      </c>
      <c r="BF494">
        <f t="shared" si="400"/>
        <v>-54.921414594342707</v>
      </c>
      <c r="BG494">
        <f t="shared" si="401"/>
        <v>-184.94068014262427</v>
      </c>
      <c r="BH494">
        <f t="shared" si="412"/>
        <v>-4.9406801426242737</v>
      </c>
      <c r="BI494">
        <f t="shared" si="413"/>
        <v>-4.9406801426242737</v>
      </c>
      <c r="BJ494">
        <f t="shared" si="402"/>
        <v>0</v>
      </c>
      <c r="BK494">
        <f t="shared" si="414"/>
        <v>0</v>
      </c>
      <c r="BM494">
        <f t="shared" si="415"/>
        <v>-56.901096895799114</v>
      </c>
      <c r="BN494">
        <f t="shared" si="403"/>
        <v>-138.38243448633716</v>
      </c>
      <c r="BQ494" s="56">
        <f t="shared" si="416"/>
        <v>18.881643101741549</v>
      </c>
    </row>
    <row r="495" spans="1:69" x14ac:dyDescent="0.2">
      <c r="A495">
        <f t="shared" si="420"/>
        <v>1405000</v>
      </c>
      <c r="B495">
        <f t="shared" si="404"/>
        <v>1405</v>
      </c>
      <c r="C495">
        <f t="shared" si="373"/>
        <v>1.3339092290457493</v>
      </c>
      <c r="D495">
        <f t="shared" si="374"/>
        <v>0.72322365386384069</v>
      </c>
      <c r="F495">
        <f t="shared" si="375"/>
        <v>7.1008056079933105E-5</v>
      </c>
      <c r="G495">
        <f t="shared" si="376"/>
        <v>4.8907955777328545E-3</v>
      </c>
      <c r="H495">
        <f t="shared" si="377"/>
        <v>-3.1367018544222676</v>
      </c>
      <c r="J495">
        <f t="shared" si="378"/>
        <v>15</v>
      </c>
      <c r="M495">
        <f t="shared" si="379"/>
        <v>5.6780721652442993E-4</v>
      </c>
      <c r="N495">
        <f t="shared" si="380"/>
        <v>-1.5707963250000001</v>
      </c>
      <c r="O495">
        <f t="shared" si="381"/>
        <v>158.9049028041708</v>
      </c>
      <c r="P495">
        <f t="shared" si="382"/>
        <v>1.5645032132223766</v>
      </c>
      <c r="Q495">
        <f t="shared" si="383"/>
        <v>167.19941838033913</v>
      </c>
      <c r="R495">
        <f t="shared" si="384"/>
        <v>1.5648154090883157</v>
      </c>
      <c r="S495">
        <f t="shared" si="385"/>
        <v>0.9439807757892027</v>
      </c>
      <c r="T495">
        <f t="shared" si="386"/>
        <v>-0.33630404855247387</v>
      </c>
      <c r="U495">
        <f t="shared" si="387"/>
        <v>0.11872503295318981</v>
      </c>
      <c r="V495">
        <f t="shared" si="388"/>
        <v>-1.4517905922466134</v>
      </c>
      <c r="X495">
        <f t="shared" si="405"/>
        <v>-52.3879284807104</v>
      </c>
      <c r="Y495">
        <f t="shared" si="389"/>
        <v>-151.43564138667944</v>
      </c>
      <c r="Z495">
        <f t="shared" si="406"/>
        <v>28.564358613320564</v>
      </c>
      <c r="AC495">
        <v>1</v>
      </c>
      <c r="AD495">
        <f t="shared" si="390"/>
        <v>158.901756237</v>
      </c>
      <c r="AE495">
        <f t="shared" si="391"/>
        <v>-1.4027648964001651</v>
      </c>
      <c r="AF495">
        <f t="shared" si="392"/>
        <v>0.16772963158349999</v>
      </c>
      <c r="AG495">
        <f t="shared" si="421"/>
        <v>12.650928636328157</v>
      </c>
      <c r="AH495">
        <f t="shared" si="422"/>
        <v>-111.76485884411177</v>
      </c>
      <c r="AJ495">
        <f t="shared" si="393"/>
        <v>10500</v>
      </c>
      <c r="AK495">
        <f t="shared" si="394"/>
        <v>3670.6305690747008</v>
      </c>
      <c r="AL495">
        <v>1</v>
      </c>
      <c r="AM495">
        <f t="shared" si="395"/>
        <v>167.19642791257144</v>
      </c>
      <c r="AN495">
        <f t="shared" si="423"/>
        <v>22.32881080087552</v>
      </c>
      <c r="AO495">
        <f t="shared" si="424"/>
        <v>-62.666836367329552</v>
      </c>
      <c r="AQ495">
        <f t="shared" si="396"/>
        <v>1.2664478329241229E-3</v>
      </c>
      <c r="AR495">
        <f t="shared" si="397"/>
        <v>-3.5587184105167853</v>
      </c>
      <c r="AT495">
        <f t="shared" si="418"/>
        <v>-397.72363907619439</v>
      </c>
      <c r="AU495">
        <f t="shared" si="419"/>
        <v>-45.162637011515216</v>
      </c>
      <c r="AV495">
        <f t="shared" si="407"/>
        <v>-3.0285241607429318</v>
      </c>
      <c r="AW495">
        <f t="shared" si="408"/>
        <v>-191.36634156241712</v>
      </c>
      <c r="AX495">
        <f t="shared" si="409"/>
        <v>-255.61719460360882</v>
      </c>
      <c r="AY495">
        <f t="shared" si="417"/>
        <v>-2.213429187330807</v>
      </c>
      <c r="BA495">
        <f t="shared" si="398"/>
        <v>1.2535623188198961</v>
      </c>
      <c r="BB495">
        <f t="shared" si="410"/>
        <v>1.962918581550428</v>
      </c>
      <c r="BC495">
        <f t="shared" si="411"/>
        <v>-0.81509497341212489</v>
      </c>
      <c r="BD495">
        <f t="shared" si="399"/>
        <v>-226.70150193220707</v>
      </c>
      <c r="BF495">
        <f t="shared" si="400"/>
        <v>-54.986578219306288</v>
      </c>
      <c r="BG495">
        <f t="shared" si="401"/>
        <v>-184.98361692904368</v>
      </c>
      <c r="BH495">
        <f t="shared" si="412"/>
        <v>-4.9836169290436771</v>
      </c>
      <c r="BI495">
        <f t="shared" si="413"/>
        <v>-4.9836169290436771</v>
      </c>
      <c r="BJ495">
        <f t="shared" si="402"/>
        <v>0</v>
      </c>
      <c r="BK495">
        <f t="shared" si="414"/>
        <v>0</v>
      </c>
      <c r="BM495">
        <f t="shared" si="415"/>
        <v>-56.949496800856714</v>
      </c>
      <c r="BN495">
        <f t="shared" si="403"/>
        <v>-138.28211499683664</v>
      </c>
      <c r="BQ495" s="56">
        <f t="shared" si="416"/>
        <v>18.864879381835568</v>
      </c>
    </row>
    <row r="496" spans="1:69" x14ac:dyDescent="0.2">
      <c r="A496">
        <f t="shared" si="420"/>
        <v>1410000</v>
      </c>
      <c r="B496">
        <f t="shared" si="404"/>
        <v>1410</v>
      </c>
      <c r="C496">
        <f t="shared" si="373"/>
        <v>1.3359904260879041</v>
      </c>
      <c r="D496">
        <f t="shared" si="374"/>
        <v>0.72498652462176416</v>
      </c>
      <c r="F496">
        <f t="shared" si="375"/>
        <v>7.0505315576420806E-5</v>
      </c>
      <c r="G496">
        <f t="shared" si="376"/>
        <v>4.8734501071746239E-3</v>
      </c>
      <c r="H496">
        <f t="shared" si="377"/>
        <v>-3.1367191998928257</v>
      </c>
      <c r="J496">
        <f t="shared" si="378"/>
        <v>15</v>
      </c>
      <c r="M496">
        <f t="shared" si="379"/>
        <v>5.6579371575661281E-4</v>
      </c>
      <c r="N496">
        <f t="shared" si="380"/>
        <v>-1.5707963250000001</v>
      </c>
      <c r="O496">
        <f t="shared" si="381"/>
        <v>159.47037832335096</v>
      </c>
      <c r="P496">
        <f t="shared" si="382"/>
        <v>1.5645255286418964</v>
      </c>
      <c r="Q496">
        <f t="shared" si="383"/>
        <v>167.79441285757156</v>
      </c>
      <c r="R496">
        <f t="shared" si="384"/>
        <v>1.5648366175132622</v>
      </c>
      <c r="S496">
        <f t="shared" si="385"/>
        <v>0.94361450258921997</v>
      </c>
      <c r="T496">
        <f t="shared" si="386"/>
        <v>-0.33741220966019253</v>
      </c>
      <c r="U496">
        <f t="shared" si="387"/>
        <v>0.11830992552443496</v>
      </c>
      <c r="V496">
        <f t="shared" si="388"/>
        <v>-1.45220864613648</v>
      </c>
      <c r="X496">
        <f t="shared" si="405"/>
        <v>-52.439042128652673</v>
      </c>
      <c r="Y496">
        <f t="shared" si="389"/>
        <v>-151.42058210005794</v>
      </c>
      <c r="Z496">
        <f t="shared" si="406"/>
        <v>28.579417899942058</v>
      </c>
      <c r="AC496">
        <v>1</v>
      </c>
      <c r="AD496">
        <f t="shared" si="390"/>
        <v>159.467242914</v>
      </c>
      <c r="AE496">
        <f t="shared" si="391"/>
        <v>-1.4127667534773716</v>
      </c>
      <c r="AF496">
        <f t="shared" si="392"/>
        <v>0.168326534187</v>
      </c>
      <c r="AG496">
        <f t="shared" si="421"/>
        <v>12.562618467428083</v>
      </c>
      <c r="AH496">
        <f t="shared" si="422"/>
        <v>-111.37905142498427</v>
      </c>
      <c r="AJ496">
        <f t="shared" si="393"/>
        <v>10500</v>
      </c>
      <c r="AK496">
        <f t="shared" si="394"/>
        <v>3683.6933113134005</v>
      </c>
      <c r="AL496">
        <v>1</v>
      </c>
      <c r="AM496">
        <f t="shared" si="395"/>
        <v>167.79143299411081</v>
      </c>
      <c r="AN496">
        <f t="shared" si="423"/>
        <v>22.326157383744366</v>
      </c>
      <c r="AO496">
        <f t="shared" si="424"/>
        <v>-62.444629357113861</v>
      </c>
      <c r="AQ496">
        <f t="shared" si="396"/>
        <v>1.2574818598810598E-3</v>
      </c>
      <c r="AR496">
        <f t="shared" si="397"/>
        <v>-3.5460988448645887</v>
      </c>
      <c r="AT496">
        <f t="shared" si="418"/>
        <v>-394.94532833541496</v>
      </c>
      <c r="AU496">
        <f t="shared" si="419"/>
        <v>-44.688343972558947</v>
      </c>
      <c r="AV496">
        <f t="shared" si="407"/>
        <v>-3.0289211611701625</v>
      </c>
      <c r="AW496">
        <f t="shared" si="408"/>
        <v>-189.85525173583767</v>
      </c>
      <c r="AX496">
        <f t="shared" si="409"/>
        <v>-254.70853182218247</v>
      </c>
      <c r="AY496">
        <f t="shared" si="417"/>
        <v>-2.2113356028544313</v>
      </c>
      <c r="BA496">
        <f t="shared" si="398"/>
        <v>1.2511452791698854</v>
      </c>
      <c r="BB496">
        <f t="shared" si="410"/>
        <v>1.9461548314149535</v>
      </c>
      <c r="BC496">
        <f t="shared" si="411"/>
        <v>-0.81758555831573121</v>
      </c>
      <c r="BD496">
        <f t="shared" si="399"/>
        <v>-226.84420193586575</v>
      </c>
      <c r="BF496">
        <f t="shared" si="400"/>
        <v>-55.051515852880605</v>
      </c>
      <c r="BG496">
        <f t="shared" si="401"/>
        <v>-185.02630570058872</v>
      </c>
      <c r="BH496">
        <f t="shared" si="412"/>
        <v>-5.0263057005887219</v>
      </c>
      <c r="BI496">
        <f t="shared" si="413"/>
        <v>-5.0263057005887219</v>
      </c>
      <c r="BJ496">
        <f t="shared" si="402"/>
        <v>0</v>
      </c>
      <c r="BK496">
        <f t="shared" si="414"/>
        <v>0</v>
      </c>
      <c r="BM496">
        <f t="shared" si="415"/>
        <v>-56.997670684295549</v>
      </c>
      <c r="BN496">
        <f t="shared" si="403"/>
        <v>-138.18210376472297</v>
      </c>
      <c r="BQ496" s="56">
        <f t="shared" si="416"/>
        <v>18.84811563170009</v>
      </c>
    </row>
    <row r="497" spans="1:69" x14ac:dyDescent="0.2">
      <c r="A497">
        <f t="shared" si="420"/>
        <v>1415000</v>
      </c>
      <c r="B497">
        <f t="shared" si="404"/>
        <v>1415</v>
      </c>
      <c r="C497">
        <f t="shared" si="373"/>
        <v>1.338075762082406</v>
      </c>
      <c r="D497">
        <f t="shared" si="374"/>
        <v>0.72674390610394268</v>
      </c>
      <c r="F497">
        <f t="shared" si="375"/>
        <v>7.0007895479675067E-5</v>
      </c>
      <c r="G497">
        <f t="shared" si="376"/>
        <v>4.8562272428982591E-3</v>
      </c>
      <c r="H497">
        <f t="shared" si="377"/>
        <v>-3.1367364227571017</v>
      </c>
      <c r="J497">
        <f t="shared" si="378"/>
        <v>15</v>
      </c>
      <c r="M497">
        <f t="shared" si="379"/>
        <v>5.6379444467620076E-4</v>
      </c>
      <c r="N497">
        <f t="shared" si="380"/>
        <v>-1.5707963250000001</v>
      </c>
      <c r="O497">
        <f t="shared" si="381"/>
        <v>160.03585392138265</v>
      </c>
      <c r="P497">
        <f t="shared" si="382"/>
        <v>1.5645476863614507</v>
      </c>
      <c r="Q497">
        <f t="shared" si="383"/>
        <v>168.38940740974411</v>
      </c>
      <c r="R497">
        <f t="shared" si="384"/>
        <v>1.5648576760606516</v>
      </c>
      <c r="S497">
        <f t="shared" si="385"/>
        <v>0.94324735653439851</v>
      </c>
      <c r="T497">
        <f t="shared" si="386"/>
        <v>-0.33851950978954504</v>
      </c>
      <c r="U497">
        <f t="shared" si="387"/>
        <v>0.11789769033577657</v>
      </c>
      <c r="V497">
        <f t="shared" si="388"/>
        <v>-1.4526237867922056</v>
      </c>
      <c r="X497">
        <f t="shared" si="405"/>
        <v>-52.489945365396544</v>
      </c>
      <c r="Y497">
        <f t="shared" si="389"/>
        <v>-151.4056316773931</v>
      </c>
      <c r="Z497">
        <f t="shared" si="406"/>
        <v>28.594368322606897</v>
      </c>
      <c r="AC497">
        <v>1</v>
      </c>
      <c r="AD497">
        <f t="shared" si="390"/>
        <v>160.03272959100002</v>
      </c>
      <c r="AE497">
        <f t="shared" si="391"/>
        <v>-1.4228041411303407</v>
      </c>
      <c r="AF497">
        <f t="shared" si="392"/>
        <v>0.16892343679049998</v>
      </c>
      <c r="AG497">
        <f t="shared" si="421"/>
        <v>12.475225443848899</v>
      </c>
      <c r="AH497">
        <f t="shared" si="422"/>
        <v>-110.99586167132297</v>
      </c>
      <c r="AJ497">
        <f t="shared" si="393"/>
        <v>10500</v>
      </c>
      <c r="AK497">
        <f t="shared" si="394"/>
        <v>3696.7560535521006</v>
      </c>
      <c r="AL497">
        <v>1</v>
      </c>
      <c r="AM497">
        <f t="shared" si="395"/>
        <v>168.38643807565023</v>
      </c>
      <c r="AN497">
        <f t="shared" si="423"/>
        <v>22.323532043661615</v>
      </c>
      <c r="AO497">
        <f t="shared" si="424"/>
        <v>-62.223992547719781</v>
      </c>
      <c r="AQ497">
        <f t="shared" si="396"/>
        <v>1.2486107644482057E-3</v>
      </c>
      <c r="AR497">
        <f t="shared" si="397"/>
        <v>-3.5335684633884226</v>
      </c>
      <c r="AT497">
        <f t="shared" si="418"/>
        <v>-392.19589966763249</v>
      </c>
      <c r="AU497">
        <f t="shared" si="419"/>
        <v>-44.220653829737323</v>
      </c>
      <c r="AV497">
        <f t="shared" si="407"/>
        <v>-3.0293153971447957</v>
      </c>
      <c r="AW497">
        <f t="shared" si="408"/>
        <v>-188.36016413007636</v>
      </c>
      <c r="AX497">
        <f t="shared" si="409"/>
        <v>-253.80631559175976</v>
      </c>
      <c r="AY497">
        <f t="shared" si="417"/>
        <v>-2.2092489046642254</v>
      </c>
      <c r="BA497">
        <f t="shared" si="398"/>
        <v>1.2487329327529892</v>
      </c>
      <c r="BB497">
        <f t="shared" si="410"/>
        <v>1.9293913097762447</v>
      </c>
      <c r="BC497">
        <f t="shared" si="411"/>
        <v>-0.82006649248057029</v>
      </c>
      <c r="BD497">
        <f t="shared" si="399"/>
        <v>-226.98634899292327</v>
      </c>
      <c r="BF497">
        <f t="shared" si="400"/>
        <v>-55.116228981143763</v>
      </c>
      <c r="BG497">
        <f t="shared" si="401"/>
        <v>-185.0687490130432</v>
      </c>
      <c r="BH497">
        <f t="shared" si="412"/>
        <v>-5.0687490130432025</v>
      </c>
      <c r="BI497">
        <f t="shared" si="413"/>
        <v>-5.0687490130432025</v>
      </c>
      <c r="BJ497">
        <f t="shared" si="402"/>
        <v>0</v>
      </c>
      <c r="BK497">
        <f t="shared" si="414"/>
        <v>0</v>
      </c>
      <c r="BM497">
        <f t="shared" si="415"/>
        <v>-57.045620290920013</v>
      </c>
      <c r="BN497">
        <f t="shared" si="403"/>
        <v>-138.08240002011993</v>
      </c>
      <c r="BQ497" s="56">
        <f t="shared" si="416"/>
        <v>18.831352110061381</v>
      </c>
    </row>
    <row r="498" spans="1:69" x14ac:dyDescent="0.2">
      <c r="A498">
        <f t="shared" si="420"/>
        <v>1420000</v>
      </c>
      <c r="B498">
        <f t="shared" si="404"/>
        <v>1420</v>
      </c>
      <c r="C498">
        <f t="shared" si="373"/>
        <v>1.3401652177082646</v>
      </c>
      <c r="D498">
        <f t="shared" si="374"/>
        <v>0.72849581310513467</v>
      </c>
      <c r="F498">
        <f t="shared" si="375"/>
        <v>6.9515720979067519E-5</v>
      </c>
      <c r="G498">
        <f t="shared" si="376"/>
        <v>4.8391256894383941E-3</v>
      </c>
      <c r="H498">
        <f t="shared" si="377"/>
        <v>-3.1367535243105618</v>
      </c>
      <c r="J498">
        <f t="shared" si="378"/>
        <v>15</v>
      </c>
      <c r="M498">
        <f t="shared" si="379"/>
        <v>5.6180925296959441E-4</v>
      </c>
      <c r="N498">
        <f t="shared" si="380"/>
        <v>-1.5707963250000001</v>
      </c>
      <c r="O498">
        <f t="shared" si="381"/>
        <v>160.60132959743297</v>
      </c>
      <c r="P498">
        <f t="shared" si="382"/>
        <v>1.5645696880467976</v>
      </c>
      <c r="Q498">
        <f t="shared" si="383"/>
        <v>168.98440203606515</v>
      </c>
      <c r="R498">
        <f t="shared" si="384"/>
        <v>1.5648785863136234</v>
      </c>
      <c r="S498">
        <f t="shared" si="385"/>
        <v>0.94287934134257767</v>
      </c>
      <c r="T498">
        <f t="shared" si="386"/>
        <v>-0.33962594723135558</v>
      </c>
      <c r="U498">
        <f t="shared" si="387"/>
        <v>0.11748829789172269</v>
      </c>
      <c r="V498">
        <f t="shared" si="388"/>
        <v>-1.4530360444180241</v>
      </c>
      <c r="X498">
        <f t="shared" si="405"/>
        <v>-52.540639831060588</v>
      </c>
      <c r="Y498">
        <f t="shared" si="389"/>
        <v>-151.39079079173086</v>
      </c>
      <c r="Z498">
        <f t="shared" si="406"/>
        <v>28.609209208269135</v>
      </c>
      <c r="AC498">
        <v>1</v>
      </c>
      <c r="AD498">
        <f t="shared" si="390"/>
        <v>160.59821626800002</v>
      </c>
      <c r="AE498">
        <f t="shared" si="391"/>
        <v>-1.4328770593590725</v>
      </c>
      <c r="AF498">
        <f t="shared" si="392"/>
        <v>0.16952033939399999</v>
      </c>
      <c r="AG498">
        <f t="shared" si="421"/>
        <v>12.388736969097252</v>
      </c>
      <c r="AH498">
        <f t="shared" si="422"/>
        <v>-110.61526342199379</v>
      </c>
      <c r="AJ498">
        <f t="shared" si="393"/>
        <v>10500</v>
      </c>
      <c r="AK498">
        <f t="shared" si="394"/>
        <v>3709.8187957908003</v>
      </c>
      <c r="AL498">
        <v>1</v>
      </c>
      <c r="AM498">
        <f t="shared" si="395"/>
        <v>168.98144315718963</v>
      </c>
      <c r="AN498">
        <f t="shared" si="423"/>
        <v>22.320934385896063</v>
      </c>
      <c r="AO498">
        <f t="shared" si="424"/>
        <v>-62.004909354854867</v>
      </c>
      <c r="AQ498">
        <f t="shared" si="396"/>
        <v>1.2398332126768979E-3</v>
      </c>
      <c r="AR498">
        <f t="shared" si="397"/>
        <v>-3.52112632400239</v>
      </c>
      <c r="AT498">
        <f t="shared" si="418"/>
        <v>-389.47495590408363</v>
      </c>
      <c r="AU498">
        <f t="shared" si="419"/>
        <v>-43.759452340449506</v>
      </c>
      <c r="AV498">
        <f t="shared" si="407"/>
        <v>-3.0297068972995151</v>
      </c>
      <c r="AW498">
        <f t="shared" si="408"/>
        <v>-186.88085355434498</v>
      </c>
      <c r="AX498">
        <f t="shared" si="409"/>
        <v>-252.91047744018005</v>
      </c>
      <c r="AY498">
        <f t="shared" si="417"/>
        <v>-2.2071690637997952</v>
      </c>
      <c r="BA498">
        <f t="shared" si="398"/>
        <v>1.2463253069922096</v>
      </c>
      <c r="BB498">
        <f t="shared" si="410"/>
        <v>1.9126282716991536</v>
      </c>
      <c r="BC498">
        <f t="shared" si="411"/>
        <v>-0.82253783349971998</v>
      </c>
      <c r="BD498">
        <f t="shared" si="399"/>
        <v>-227.12794640321991</v>
      </c>
      <c r="BF498">
        <f t="shared" si="400"/>
        <v>-55.180719075795956</v>
      </c>
      <c r="BG498">
        <f t="shared" si="401"/>
        <v>-185.11094939279488</v>
      </c>
      <c r="BH498">
        <f t="shared" si="412"/>
        <v>-5.110949392794879</v>
      </c>
      <c r="BI498">
        <f t="shared" si="413"/>
        <v>-5.110949392794879</v>
      </c>
      <c r="BJ498">
        <f t="shared" si="402"/>
        <v>0</v>
      </c>
      <c r="BK498">
        <f t="shared" si="414"/>
        <v>0</v>
      </c>
      <c r="BM498">
        <f t="shared" si="415"/>
        <v>-57.093347347495104</v>
      </c>
      <c r="BN498">
        <f t="shared" si="403"/>
        <v>-137.983002989575</v>
      </c>
      <c r="BQ498" s="56">
        <f t="shared" si="416"/>
        <v>18.81458907198429</v>
      </c>
    </row>
    <row r="499" spans="1:69" x14ac:dyDescent="0.2">
      <c r="A499">
        <f t="shared" si="420"/>
        <v>1425000</v>
      </c>
      <c r="B499">
        <f t="shared" si="404"/>
        <v>1425</v>
      </c>
      <c r="C499">
        <f t="shared" si="373"/>
        <v>1.3422587737267453</v>
      </c>
      <c r="D499">
        <f t="shared" si="374"/>
        <v>0.73024226046248486</v>
      </c>
      <c r="F499">
        <f t="shared" si="375"/>
        <v>6.9028718574285121E-5</v>
      </c>
      <c r="G499">
        <f t="shared" si="376"/>
        <v>4.8221441695173719E-3</v>
      </c>
      <c r="H499">
        <f t="shared" si="377"/>
        <v>-3.1367705058304827</v>
      </c>
      <c r="J499">
        <f t="shared" si="378"/>
        <v>15</v>
      </c>
      <c r="M499">
        <f t="shared" si="379"/>
        <v>5.5983799243285897E-4</v>
      </c>
      <c r="N499">
        <f t="shared" si="380"/>
        <v>-1.5707963250000001</v>
      </c>
      <c r="O499">
        <f t="shared" si="381"/>
        <v>161.16680535068068</v>
      </c>
      <c r="P499">
        <f t="shared" si="382"/>
        <v>1.5645915353403179</v>
      </c>
      <c r="Q499">
        <f t="shared" si="383"/>
        <v>169.57939673575424</v>
      </c>
      <c r="R499">
        <f t="shared" si="384"/>
        <v>1.5648993498330983</v>
      </c>
      <c r="S499">
        <f t="shared" si="385"/>
        <v>0.94251046073222611</v>
      </c>
      <c r="T499">
        <f t="shared" si="386"/>
        <v>-0.34073152028755932</v>
      </c>
      <c r="U499">
        <f t="shared" si="387"/>
        <v>0.11708171909631056</v>
      </c>
      <c r="V499">
        <f t="shared" si="388"/>
        <v>-1.4534454488040225</v>
      </c>
      <c r="X499">
        <f t="shared" si="405"/>
        <v>-52.591127149026391</v>
      </c>
      <c r="Y499">
        <f t="shared" si="389"/>
        <v>-151.37606009216671</v>
      </c>
      <c r="Z499">
        <f t="shared" si="406"/>
        <v>28.623939907833289</v>
      </c>
      <c r="AC499">
        <v>1</v>
      </c>
      <c r="AD499">
        <f t="shared" si="390"/>
        <v>161.16370294500001</v>
      </c>
      <c r="AE499">
        <f t="shared" si="391"/>
        <v>-1.4429855081635672</v>
      </c>
      <c r="AF499">
        <f t="shared" si="392"/>
        <v>0.1701172419975</v>
      </c>
      <c r="AG499">
        <f t="shared" si="421"/>
        <v>12.303140661167161</v>
      </c>
      <c r="AH499">
        <f t="shared" si="422"/>
        <v>-110.23723085775008</v>
      </c>
      <c r="AJ499">
        <f t="shared" si="393"/>
        <v>10500</v>
      </c>
      <c r="AK499">
        <f t="shared" si="394"/>
        <v>3722.8815380295</v>
      </c>
      <c r="AL499">
        <v>1</v>
      </c>
      <c r="AM499">
        <f t="shared" si="395"/>
        <v>169.576448238729</v>
      </c>
      <c r="AN499">
        <f t="shared" si="423"/>
        <v>22.318364022628941</v>
      </c>
      <c r="AO499">
        <f t="shared" si="424"/>
        <v>-61.787363426947913</v>
      </c>
      <c r="AQ499">
        <f t="shared" si="396"/>
        <v>1.2311478939799453E-3</v>
      </c>
      <c r="AR499">
        <f t="shared" si="397"/>
        <v>-3.5087714978428441</v>
      </c>
      <c r="AT499">
        <f t="shared" si="418"/>
        <v>-386.78210664908079</v>
      </c>
      <c r="AU499">
        <f t="shared" si="419"/>
        <v>-43.3046276204634</v>
      </c>
      <c r="AV499">
        <f t="shared" si="407"/>
        <v>-3.0300956898749147</v>
      </c>
      <c r="AW499">
        <f t="shared" si="408"/>
        <v>-185.41709876581785</v>
      </c>
      <c r="AX499">
        <f t="shared" si="409"/>
        <v>-252.02094986336439</v>
      </c>
      <c r="AY499">
        <f t="shared" si="417"/>
        <v>-2.2050960513541602</v>
      </c>
      <c r="BA499">
        <f t="shared" si="398"/>
        <v>1.2439224285288306</v>
      </c>
      <c r="BB499">
        <f t="shared" si="410"/>
        <v>1.8958659686348209</v>
      </c>
      <c r="BC499">
        <f t="shared" si="411"/>
        <v>-0.82499963852075453</v>
      </c>
      <c r="BD499">
        <f t="shared" si="399"/>
        <v>-227.26899744107047</v>
      </c>
      <c r="BF499">
        <f t="shared" si="400"/>
        <v>-55.244987594350611</v>
      </c>
      <c r="BG499">
        <f t="shared" si="401"/>
        <v>-185.15290933723549</v>
      </c>
      <c r="BH499">
        <f t="shared" si="412"/>
        <v>-5.1529093372354851</v>
      </c>
      <c r="BI499">
        <f t="shared" si="413"/>
        <v>-5.1529093372354851</v>
      </c>
      <c r="BJ499">
        <f t="shared" si="402"/>
        <v>0</v>
      </c>
      <c r="BK499">
        <f t="shared" si="414"/>
        <v>0</v>
      </c>
      <c r="BM499">
        <f t="shared" si="415"/>
        <v>-57.140853562985434</v>
      </c>
      <c r="BN499">
        <f t="shared" si="403"/>
        <v>-137.88391189616502</v>
      </c>
      <c r="BQ499" s="56">
        <f t="shared" si="416"/>
        <v>18.797826768919958</v>
      </c>
    </row>
    <row r="500" spans="1:69" x14ac:dyDescent="0.2">
      <c r="A500">
        <f t="shared" si="420"/>
        <v>1430000</v>
      </c>
      <c r="B500">
        <f t="shared" si="404"/>
        <v>1430</v>
      </c>
      <c r="C500">
        <f t="shared" si="373"/>
        <v>1.3443564109813175</v>
      </c>
      <c r="D500">
        <f t="shared" si="374"/>
        <v>0.73198326305402506</v>
      </c>
      <c r="F500">
        <f t="shared" si="375"/>
        <v>6.8546816047885493E-5</v>
      </c>
      <c r="G500">
        <f t="shared" si="376"/>
        <v>4.8052814237271521E-3</v>
      </c>
      <c r="H500">
        <f t="shared" si="377"/>
        <v>-3.136787368576273</v>
      </c>
      <c r="J500">
        <f t="shared" si="378"/>
        <v>15</v>
      </c>
      <c r="M500">
        <f t="shared" si="379"/>
        <v>5.578805169348419E-4</v>
      </c>
      <c r="N500">
        <f t="shared" si="380"/>
        <v>-1.5707963250000001</v>
      </c>
      <c r="O500">
        <f t="shared" si="381"/>
        <v>161.73228118031608</v>
      </c>
      <c r="P500">
        <f t="shared" si="382"/>
        <v>1.564613229861423</v>
      </c>
      <c r="Q500">
        <f t="shared" si="383"/>
        <v>170.17439150804179</v>
      </c>
      <c r="R500">
        <f t="shared" si="384"/>
        <v>1.564919968158168</v>
      </c>
      <c r="S500">
        <f t="shared" si="385"/>
        <v>0.94214071842235669</v>
      </c>
      <c r="T500">
        <f t="shared" si="386"/>
        <v>-0.341836227271196</v>
      </c>
      <c r="U500">
        <f t="shared" si="387"/>
        <v>0.11667792524641597</v>
      </c>
      <c r="V500">
        <f t="shared" si="388"/>
        <v>-1.4538520293331807</v>
      </c>
      <c r="X500">
        <f t="shared" si="405"/>
        <v>-52.641408926151563</v>
      </c>
      <c r="Y500">
        <f t="shared" si="389"/>
        <v>-151.3614402043072</v>
      </c>
      <c r="Z500">
        <f t="shared" si="406"/>
        <v>28.6385597956928</v>
      </c>
      <c r="AC500">
        <v>1</v>
      </c>
      <c r="AD500">
        <f t="shared" si="390"/>
        <v>161.72918962200004</v>
      </c>
      <c r="AE500">
        <f t="shared" si="391"/>
        <v>-1.4531294875438243</v>
      </c>
      <c r="AF500">
        <f t="shared" si="392"/>
        <v>0.17071414460099998</v>
      </c>
      <c r="AG500">
        <f t="shared" si="421"/>
        <v>12.218424348193533</v>
      </c>
      <c r="AH500">
        <f t="shared" si="422"/>
        <v>-109.86173849576605</v>
      </c>
      <c r="AJ500">
        <f t="shared" si="393"/>
        <v>10500</v>
      </c>
      <c r="AK500">
        <f t="shared" si="394"/>
        <v>3735.9442802682006</v>
      </c>
      <c r="AL500">
        <v>1</v>
      </c>
      <c r="AM500">
        <f t="shared" si="395"/>
        <v>170.17145332026843</v>
      </c>
      <c r="AN500">
        <f t="shared" si="423"/>
        <v>22.315820572809173</v>
      </c>
      <c r="AO500">
        <f t="shared" si="424"/>
        <v>-61.571338641081212</v>
      </c>
      <c r="AQ500">
        <f t="shared" si="396"/>
        <v>1.2225535206423883E-3</v>
      </c>
      <c r="AR500">
        <f t="shared" si="397"/>
        <v>-3.4965030690372307</v>
      </c>
      <c r="AT500">
        <f t="shared" si="418"/>
        <v>-384.11696814250809</v>
      </c>
      <c r="AU500">
        <f t="shared" si="419"/>
        <v>-42.856070087439804</v>
      </c>
      <c r="AV500">
        <f t="shared" si="407"/>
        <v>-3.0304818027261491</v>
      </c>
      <c r="AW500">
        <f t="shared" si="408"/>
        <v>-183.96868238685306</v>
      </c>
      <c r="AX500">
        <f t="shared" si="409"/>
        <v>-251.13766630823073</v>
      </c>
      <c r="AY500">
        <f t="shared" si="417"/>
        <v>-2.2030298384753721</v>
      </c>
      <c r="BA500">
        <f t="shared" si="398"/>
        <v>1.2415243232354758</v>
      </c>
      <c r="BB500">
        <f t="shared" si="410"/>
        <v>1.879104648467675</v>
      </c>
      <c r="BC500">
        <f t="shared" si="411"/>
        <v>-0.82745196425077694</v>
      </c>
      <c r="BD500">
        <f t="shared" si="399"/>
        <v>-227.40950535555265</v>
      </c>
      <c r="BF500">
        <f t="shared" si="400"/>
        <v>-55.30903598032242</v>
      </c>
      <c r="BG500">
        <f t="shared" si="401"/>
        <v>-185.19463131515298</v>
      </c>
      <c r="BH500">
        <f t="shared" si="412"/>
        <v>-5.194631315152975</v>
      </c>
      <c r="BI500">
        <f t="shared" si="413"/>
        <v>-5.194631315152975</v>
      </c>
      <c r="BJ500">
        <f t="shared" si="402"/>
        <v>0</v>
      </c>
      <c r="BK500">
        <f t="shared" si="414"/>
        <v>0</v>
      </c>
      <c r="BM500">
        <f t="shared" si="415"/>
        <v>-57.188140628790094</v>
      </c>
      <c r="BN500">
        <f t="shared" si="403"/>
        <v>-137.78512595960035</v>
      </c>
      <c r="BQ500" s="56">
        <f t="shared" si="416"/>
        <v>18.781065448752813</v>
      </c>
    </row>
    <row r="501" spans="1:69" x14ac:dyDescent="0.2">
      <c r="A501">
        <f t="shared" si="420"/>
        <v>1435000</v>
      </c>
      <c r="B501">
        <f t="shared" si="404"/>
        <v>1435</v>
      </c>
      <c r="C501">
        <f t="shared" si="373"/>
        <v>1.3464581103975974</v>
      </c>
      <c r="D501">
        <f t="shared" si="374"/>
        <v>0.7337188357971931</v>
      </c>
      <c r="F501">
        <f t="shared" si="375"/>
        <v>6.8069942438520427E-5</v>
      </c>
      <c r="G501">
        <f t="shared" si="376"/>
        <v>4.7885362102178756E-3</v>
      </c>
      <c r="H501">
        <f t="shared" si="377"/>
        <v>-3.1368041137897822</v>
      </c>
      <c r="J501">
        <f t="shared" si="378"/>
        <v>15</v>
      </c>
      <c r="M501">
        <f t="shared" si="379"/>
        <v>5.5593668238106207E-4</v>
      </c>
      <c r="N501">
        <f t="shared" si="380"/>
        <v>-1.5707963250000001</v>
      </c>
      <c r="O501">
        <f t="shared" si="381"/>
        <v>162.29775708554072</v>
      </c>
      <c r="P501">
        <f t="shared" si="382"/>
        <v>1.5646347732069561</v>
      </c>
      <c r="Q501">
        <f t="shared" si="383"/>
        <v>170.76938635216897</v>
      </c>
      <c r="R501">
        <f t="shared" si="384"/>
        <v>1.5649404428064742</v>
      </c>
      <c r="S501">
        <f t="shared" si="385"/>
        <v>0.94177011813244371</v>
      </c>
      <c r="T501">
        <f t="shared" si="386"/>
        <v>-0.34294006650640269</v>
      </c>
      <c r="U501">
        <f t="shared" si="387"/>
        <v>0.11627688802519555</v>
      </c>
      <c r="V501">
        <f t="shared" si="388"/>
        <v>-1.4542558149882701</v>
      </c>
      <c r="X501">
        <f t="shared" si="405"/>
        <v>-52.691486752979479</v>
      </c>
      <c r="Y501">
        <f t="shared" si="389"/>
        <v>-151.3469317307225</v>
      </c>
      <c r="Z501">
        <f t="shared" si="406"/>
        <v>28.653068269277497</v>
      </c>
      <c r="AC501">
        <v>1</v>
      </c>
      <c r="AD501">
        <f t="shared" si="390"/>
        <v>162.29467629900003</v>
      </c>
      <c r="AE501">
        <f t="shared" si="391"/>
        <v>-1.4633089974998441</v>
      </c>
      <c r="AF501">
        <f t="shared" si="392"/>
        <v>0.17131104720449999</v>
      </c>
      <c r="AG501">
        <f t="shared" si="421"/>
        <v>12.134576064207561</v>
      </c>
      <c r="AH501">
        <f t="shared" si="422"/>
        <v>-109.48876118427273</v>
      </c>
      <c r="AJ501">
        <f t="shared" si="393"/>
        <v>10500</v>
      </c>
      <c r="AK501">
        <f t="shared" si="394"/>
        <v>3749.0070225069003</v>
      </c>
      <c r="AL501">
        <v>1</v>
      </c>
      <c r="AM501">
        <f t="shared" si="395"/>
        <v>170.76645840180782</v>
      </c>
      <c r="AN501">
        <f t="shared" si="423"/>
        <v>22.313303662012178</v>
      </c>
      <c r="AO501">
        <f t="shared" si="424"/>
        <v>-61.356819099007943</v>
      </c>
      <c r="AQ501">
        <f t="shared" si="396"/>
        <v>1.2140488273441675E-3</v>
      </c>
      <c r="AR501">
        <f t="shared" si="397"/>
        <v>-3.4843201344777603</v>
      </c>
      <c r="AT501">
        <f t="shared" si="418"/>
        <v>-381.47916312554753</v>
      </c>
      <c r="AU501">
        <f t="shared" si="419"/>
        <v>-42.413672405993438</v>
      </c>
      <c r="AV501">
        <f t="shared" si="407"/>
        <v>-3.0308652633294586</v>
      </c>
      <c r="AW501">
        <f t="shared" si="408"/>
        <v>-182.53539082423191</v>
      </c>
      <c r="AX501">
        <f t="shared" si="409"/>
        <v>-250.26056115597123</v>
      </c>
      <c r="AY501">
        <f t="shared" si="417"/>
        <v>-2.2009703963680893</v>
      </c>
      <c r="BA501">
        <f t="shared" si="398"/>
        <v>1.239131016228959</v>
      </c>
      <c r="BB501">
        <f t="shared" si="410"/>
        <v>1.8623445555617089</v>
      </c>
      <c r="BC501">
        <f t="shared" si="411"/>
        <v>-0.82989486696136927</v>
      </c>
      <c r="BD501">
        <f t="shared" si="399"/>
        <v>-227.54947337079059</v>
      </c>
      <c r="BF501">
        <f t="shared" si="400"/>
        <v>-55.372865663412021</v>
      </c>
      <c r="BG501">
        <f t="shared" si="401"/>
        <v>-185.23611776711803</v>
      </c>
      <c r="BH501">
        <f t="shared" si="412"/>
        <v>-5.2361177671180315</v>
      </c>
      <c r="BI501">
        <f t="shared" si="413"/>
        <v>-5.2361177671180315</v>
      </c>
      <c r="BJ501">
        <f t="shared" si="402"/>
        <v>0</v>
      </c>
      <c r="BK501">
        <f t="shared" si="414"/>
        <v>0</v>
      </c>
      <c r="BM501">
        <f t="shared" si="415"/>
        <v>-57.235210218973727</v>
      </c>
      <c r="BN501">
        <f t="shared" si="403"/>
        <v>-137.68664439632744</v>
      </c>
      <c r="BQ501" s="56">
        <f t="shared" si="416"/>
        <v>18.764305355846844</v>
      </c>
    </row>
    <row r="502" spans="1:69" x14ac:dyDescent="0.2">
      <c r="A502">
        <f t="shared" si="420"/>
        <v>1440000</v>
      </c>
      <c r="B502">
        <f t="shared" si="404"/>
        <v>1440</v>
      </c>
      <c r="C502">
        <f t="shared" si="373"/>
        <v>1.3485638529832862</v>
      </c>
      <c r="D502">
        <f t="shared" si="374"/>
        <v>0.73544899364737049</v>
      </c>
      <c r="F502">
        <f t="shared" si="375"/>
        <v>6.7598028014809343E-5</v>
      </c>
      <c r="G502">
        <f t="shared" si="376"/>
        <v>4.7719073043929324E-3</v>
      </c>
      <c r="H502">
        <f t="shared" si="377"/>
        <v>-3.1368207426956074</v>
      </c>
      <c r="J502">
        <f t="shared" si="378"/>
        <v>15</v>
      </c>
      <c r="M502">
        <f t="shared" si="379"/>
        <v>5.5400634667834999E-4</v>
      </c>
      <c r="N502">
        <f t="shared" si="380"/>
        <v>-1.5707963250000001</v>
      </c>
      <c r="O502">
        <f t="shared" si="381"/>
        <v>162.86323306556727</v>
      </c>
      <c r="P502">
        <f t="shared" si="382"/>
        <v>1.5646561669515828</v>
      </c>
      <c r="Q502">
        <f t="shared" si="383"/>
        <v>171.36438126738744</v>
      </c>
      <c r="R502">
        <f t="shared" si="384"/>
        <v>1.5649607752745813</v>
      </c>
      <c r="S502">
        <f t="shared" si="385"/>
        <v>0.94139866358233915</v>
      </c>
      <c r="T502">
        <f t="shared" si="386"/>
        <v>-0.34404303632840672</v>
      </c>
      <c r="U502">
        <f t="shared" si="387"/>
        <v>0.11587857949565898</v>
      </c>
      <c r="V502">
        <f t="shared" si="388"/>
        <v>-1.4546568343586121</v>
      </c>
      <c r="X502">
        <f t="shared" si="405"/>
        <v>-52.741362203945528</v>
      </c>
      <c r="Y502">
        <f t="shared" si="389"/>
        <v>-151.33253525139119</v>
      </c>
      <c r="Z502">
        <f t="shared" si="406"/>
        <v>28.667464748608808</v>
      </c>
      <c r="AC502">
        <v>1</v>
      </c>
      <c r="AD502">
        <f t="shared" si="390"/>
        <v>162.86016297600003</v>
      </c>
      <c r="AE502">
        <f t="shared" si="391"/>
        <v>-1.4735240380316272</v>
      </c>
      <c r="AF502">
        <f t="shared" si="392"/>
        <v>0.171907949808</v>
      </c>
      <c r="AG502">
        <f t="shared" si="421"/>
        <v>12.051584044991378</v>
      </c>
      <c r="AH502">
        <f t="shared" si="422"/>
        <v>-109.11827409729412</v>
      </c>
      <c r="AJ502">
        <f t="shared" si="393"/>
        <v>10500</v>
      </c>
      <c r="AK502">
        <f t="shared" si="394"/>
        <v>3762.0697647456009</v>
      </c>
      <c r="AL502">
        <v>1</v>
      </c>
      <c r="AM502">
        <f t="shared" si="395"/>
        <v>171.36146348334722</v>
      </c>
      <c r="AN502">
        <f t="shared" si="423"/>
        <v>22.310812922302048</v>
      </c>
      <c r="AO502">
        <f t="shared" si="424"/>
        <v>-61.143789123252397</v>
      </c>
      <c r="AQ502">
        <f t="shared" si="396"/>
        <v>1.2056325706943755E-3</v>
      </c>
      <c r="AR502">
        <f t="shared" si="397"/>
        <v>-3.472221803599802</v>
      </c>
      <c r="AT502">
        <f t="shared" si="418"/>
        <v>-378.86832070955109</v>
      </c>
      <c r="AU502">
        <f t="shared" si="419"/>
        <v>-41.977329434244218</v>
      </c>
      <c r="AV502">
        <f t="shared" si="407"/>
        <v>-3.0312460987885546</v>
      </c>
      <c r="AW502">
        <f t="shared" si="408"/>
        <v>-181.11701419036069</v>
      </c>
      <c r="AX502">
        <f t="shared" si="409"/>
        <v>-249.38956970568125</v>
      </c>
      <c r="AY502">
        <f t="shared" si="417"/>
        <v>-2.1989176962951165</v>
      </c>
      <c r="BA502">
        <f t="shared" si="398"/>
        <v>1.2367425318829421</v>
      </c>
      <c r="BB502">
        <f t="shared" si="410"/>
        <v>1.8455859308061067</v>
      </c>
      <c r="BC502">
        <f t="shared" si="411"/>
        <v>-0.83232840249343809</v>
      </c>
      <c r="BD502">
        <f t="shared" si="399"/>
        <v>-227.68890468623258</v>
      </c>
      <c r="BF502">
        <f t="shared" si="400"/>
        <v>-55.436478059687573</v>
      </c>
      <c r="BG502">
        <f t="shared" si="401"/>
        <v>-185.27737110586295</v>
      </c>
      <c r="BH502">
        <f t="shared" si="412"/>
        <v>-5.2773711058629544</v>
      </c>
      <c r="BI502">
        <f t="shared" si="413"/>
        <v>-5.2773711058629544</v>
      </c>
      <c r="BJ502">
        <f t="shared" si="402"/>
        <v>0</v>
      </c>
      <c r="BK502">
        <f t="shared" si="414"/>
        <v>0</v>
      </c>
      <c r="BM502">
        <f t="shared" si="415"/>
        <v>-57.282063990493683</v>
      </c>
      <c r="BN502">
        <f t="shared" si="403"/>
        <v>-137.58846641963038</v>
      </c>
      <c r="BQ502" s="56">
        <f t="shared" si="416"/>
        <v>18.747546731091241</v>
      </c>
    </row>
    <row r="503" spans="1:69" x14ac:dyDescent="0.2">
      <c r="A503">
        <f t="shared" si="420"/>
        <v>1445000</v>
      </c>
      <c r="B503">
        <f t="shared" si="404"/>
        <v>1445</v>
      </c>
      <c r="C503">
        <f t="shared" si="373"/>
        <v>1.3506736198280991</v>
      </c>
      <c r="D503">
        <f t="shared" si="374"/>
        <v>0.73717375159643916</v>
      </c>
      <c r="F503">
        <f t="shared" si="375"/>
        <v>6.7131004249844446E-5</v>
      </c>
      <c r="G503">
        <f t="shared" si="376"/>
        <v>4.7553934986103363E-3</v>
      </c>
      <c r="H503">
        <f t="shared" si="377"/>
        <v>-3.1368372565013898</v>
      </c>
      <c r="J503">
        <f t="shared" si="378"/>
        <v>15</v>
      </c>
      <c r="M503">
        <f t="shared" si="379"/>
        <v>5.5208936970022418E-4</v>
      </c>
      <c r="N503">
        <f t="shared" si="380"/>
        <v>-1.5707963250000001</v>
      </c>
      <c r="O503">
        <f t="shared" si="381"/>
        <v>163.42870911961919</v>
      </c>
      <c r="P503">
        <f t="shared" si="382"/>
        <v>1.5646774126481762</v>
      </c>
      <c r="Q503">
        <f t="shared" si="383"/>
        <v>171.95937625295932</v>
      </c>
      <c r="R503">
        <f t="shared" si="384"/>
        <v>1.5649809670383417</v>
      </c>
      <c r="S503">
        <f t="shared" si="385"/>
        <v>0.94102635849219018</v>
      </c>
      <c r="T503">
        <f t="shared" si="386"/>
        <v>-0.34514513508351818</v>
      </c>
      <c r="U503">
        <f t="shared" si="387"/>
        <v>0.11548297209436817</v>
      </c>
      <c r="V503">
        <f t="shared" si="388"/>
        <v>-1.4550551156467009</v>
      </c>
      <c r="X503">
        <f t="shared" si="405"/>
        <v>-52.791036837580251</v>
      </c>
      <c r="Y503">
        <f t="shared" si="389"/>
        <v>-151.31825132413564</v>
      </c>
      <c r="Z503">
        <f t="shared" si="406"/>
        <v>28.681748675864355</v>
      </c>
      <c r="AC503">
        <v>1</v>
      </c>
      <c r="AD503">
        <f t="shared" si="390"/>
        <v>163.42564965300002</v>
      </c>
      <c r="AE503">
        <f t="shared" si="391"/>
        <v>-1.4837746091391724</v>
      </c>
      <c r="AF503">
        <f t="shared" si="392"/>
        <v>0.17250485241149999</v>
      </c>
      <c r="AG503">
        <f t="shared" si="421"/>
        <v>11.969436724029226</v>
      </c>
      <c r="AH503">
        <f t="shared" si="422"/>
        <v>-108.75025272948146</v>
      </c>
      <c r="AJ503">
        <f t="shared" si="393"/>
        <v>10500</v>
      </c>
      <c r="AK503">
        <f t="shared" si="394"/>
        <v>3775.1325069843006</v>
      </c>
      <c r="AL503">
        <v>1</v>
      </c>
      <c r="AM503">
        <f t="shared" si="395"/>
        <v>171.95646856488662</v>
      </c>
      <c r="AN503">
        <f t="shared" si="423"/>
        <v>22.308347992097072</v>
      </c>
      <c r="AO503">
        <f t="shared" si="424"/>
        <v>-60.932233253291173</v>
      </c>
      <c r="AQ503">
        <f t="shared" si="396"/>
        <v>1.1973035287767713E-3</v>
      </c>
      <c r="AR503">
        <f t="shared" si="397"/>
        <v>-3.460207198164869</v>
      </c>
      <c r="AT503">
        <f t="shared" si="418"/>
        <v>-376.2840762479733</v>
      </c>
      <c r="AU503">
        <f t="shared" si="419"/>
        <v>-41.546938171813231</v>
      </c>
      <c r="AV503">
        <f t="shared" si="407"/>
        <v>-3.0316243358408821</v>
      </c>
      <c r="AW503">
        <f t="shared" si="408"/>
        <v>-179.71334622637954</v>
      </c>
      <c r="AX503">
        <f t="shared" si="409"/>
        <v>-248.52462815833258</v>
      </c>
      <c r="AY503">
        <f t="shared" si="417"/>
        <v>-2.1968717095788999</v>
      </c>
      <c r="BA503">
        <f t="shared" si="398"/>
        <v>1.2343588938404009</v>
      </c>
      <c r="BB503">
        <f t="shared" si="410"/>
        <v>1.8288290116602277</v>
      </c>
      <c r="BC503">
        <f t="shared" si="411"/>
        <v>-0.83475262626198221</v>
      </c>
      <c r="BD503">
        <f t="shared" si="399"/>
        <v>-227.82780247692418</v>
      </c>
      <c r="BF503">
        <f t="shared" si="400"/>
        <v>-55.4998745717632</v>
      </c>
      <c r="BG503">
        <f t="shared" si="401"/>
        <v>-185.31839371665447</v>
      </c>
      <c r="BH503">
        <f t="shared" si="412"/>
        <v>-5.3183937166544695</v>
      </c>
      <c r="BI503">
        <f t="shared" si="413"/>
        <v>-5.3183937166544695</v>
      </c>
      <c r="BJ503">
        <f t="shared" si="402"/>
        <v>0</v>
      </c>
      <c r="BK503">
        <f t="shared" si="414"/>
        <v>0</v>
      </c>
      <c r="BM503">
        <f t="shared" si="415"/>
        <v>-57.328703583423426</v>
      </c>
      <c r="BN503">
        <f t="shared" si="403"/>
        <v>-137.49059123973029</v>
      </c>
      <c r="BQ503" s="56">
        <f t="shared" si="416"/>
        <v>18.730789811945364</v>
      </c>
    </row>
    <row r="504" spans="1:69" x14ac:dyDescent="0.2">
      <c r="A504">
        <f t="shared" si="420"/>
        <v>1450000</v>
      </c>
      <c r="B504">
        <f t="shared" si="404"/>
        <v>1450</v>
      </c>
      <c r="C504">
        <f t="shared" si="373"/>
        <v>1.3527873921036933</v>
      </c>
      <c r="D504">
        <f t="shared" si="374"/>
        <v>0.73889312467135593</v>
      </c>
      <c r="F504">
        <f t="shared" si="375"/>
        <v>6.6668803796310347E-5</v>
      </c>
      <c r="G504">
        <f t="shared" si="376"/>
        <v>4.7389936018903131E-3</v>
      </c>
      <c r="H504">
        <f t="shared" si="377"/>
        <v>-3.13685365639811</v>
      </c>
      <c r="J504">
        <f t="shared" si="378"/>
        <v>15</v>
      </c>
      <c r="M504">
        <f t="shared" si="379"/>
        <v>5.5018561325298216E-4</v>
      </c>
      <c r="N504">
        <f t="shared" si="380"/>
        <v>-1.5707963250000001</v>
      </c>
      <c r="O504">
        <f t="shared" si="381"/>
        <v>163.99418524693075</v>
      </c>
      <c r="P504">
        <f t="shared" si="382"/>
        <v>1.5646985118281909</v>
      </c>
      <c r="Q504">
        <f t="shared" si="383"/>
        <v>172.55437130815679</v>
      </c>
      <c r="R504">
        <f t="shared" si="384"/>
        <v>1.565001019553252</v>
      </c>
      <c r="S504">
        <f t="shared" si="385"/>
        <v>0.94065320658235618</v>
      </c>
      <c r="T504">
        <f t="shared" si="386"/>
        <v>-0.34624636112912227</v>
      </c>
      <c r="U504">
        <f t="shared" si="387"/>
        <v>0.11509003862526028</v>
      </c>
      <c r="V504">
        <f t="shared" si="388"/>
        <v>-1.4554506866746932</v>
      </c>
      <c r="X504">
        <f t="shared" si="405"/>
        <v>-52.84051219670922</v>
      </c>
      <c r="Y504">
        <f t="shared" si="389"/>
        <v>-151.30408048505041</v>
      </c>
      <c r="Z504">
        <f t="shared" si="406"/>
        <v>28.695919514949594</v>
      </c>
      <c r="AC504">
        <v>1</v>
      </c>
      <c r="AD504">
        <f t="shared" si="390"/>
        <v>163.99113633000002</v>
      </c>
      <c r="AE504">
        <f t="shared" si="391"/>
        <v>-1.4940607108224808</v>
      </c>
      <c r="AF504">
        <f t="shared" si="392"/>
        <v>0.173101755015</v>
      </c>
      <c r="AG504">
        <f t="shared" si="421"/>
        <v>11.888122728552638</v>
      </c>
      <c r="AH504">
        <f t="shared" si="422"/>
        <v>-108.38467289104305</v>
      </c>
      <c r="AJ504">
        <f t="shared" si="393"/>
        <v>10500</v>
      </c>
      <c r="AK504">
        <f t="shared" si="394"/>
        <v>3788.1952492230007</v>
      </c>
      <c r="AL504">
        <v>1</v>
      </c>
      <c r="AM504">
        <f t="shared" si="395"/>
        <v>172.55147364642602</v>
      </c>
      <c r="AN504">
        <f t="shared" si="423"/>
        <v>22.305908516038542</v>
      </c>
      <c r="AO504">
        <f t="shared" si="424"/>
        <v>-60.722136241813438</v>
      </c>
      <c r="AQ504">
        <f t="shared" si="396"/>
        <v>1.1890605007062426E-3</v>
      </c>
      <c r="AR504">
        <f t="shared" si="397"/>
        <v>-3.4482754520481032</v>
      </c>
      <c r="AT504">
        <f t="shared" si="418"/>
        <v>-373.72607121128317</v>
      </c>
      <c r="AU504">
        <f t="shared" si="419"/>
        <v>-41.122397709219882</v>
      </c>
      <c r="AV504">
        <f t="shared" si="407"/>
        <v>-3.0320000008637562</v>
      </c>
      <c r="AW504">
        <f t="shared" si="408"/>
        <v>-178.32418422712766</v>
      </c>
      <c r="AX504">
        <f t="shared" si="409"/>
        <v>-247.66567360108206</v>
      </c>
      <c r="AY504">
        <f t="shared" si="417"/>
        <v>-2.1948324076029904</v>
      </c>
      <c r="BA504">
        <f t="shared" si="398"/>
        <v>1.2319801250258875</v>
      </c>
      <c r="BB504">
        <f t="shared" si="410"/>
        <v>1.8120740321978501</v>
      </c>
      <c r="BC504">
        <f t="shared" si="411"/>
        <v>-0.83716759326076584</v>
      </c>
      <c r="BD504">
        <f t="shared" si="399"/>
        <v>-227.96616989377597</v>
      </c>
      <c r="BF504">
        <f t="shared" si="400"/>
        <v>-55.563056588974447</v>
      </c>
      <c r="BG504">
        <f t="shared" si="401"/>
        <v>-185.35918795766011</v>
      </c>
      <c r="BH504">
        <f t="shared" si="412"/>
        <v>-5.3591879576601116</v>
      </c>
      <c r="BI504">
        <f t="shared" si="413"/>
        <v>-5.3591879576601116</v>
      </c>
      <c r="BJ504">
        <f t="shared" si="402"/>
        <v>0</v>
      </c>
      <c r="BK504">
        <f t="shared" si="414"/>
        <v>0</v>
      </c>
      <c r="BM504">
        <f t="shared" si="415"/>
        <v>-57.375130621172296</v>
      </c>
      <c r="BN504">
        <f t="shared" si="403"/>
        <v>-137.39301806388414</v>
      </c>
      <c r="BQ504" s="56">
        <f t="shared" si="416"/>
        <v>18.714034832482987</v>
      </c>
    </row>
    <row r="505" spans="1:69" x14ac:dyDescent="0.2">
      <c r="A505">
        <f t="shared" si="420"/>
        <v>1455000</v>
      </c>
      <c r="B505">
        <f t="shared" si="404"/>
        <v>1455</v>
      </c>
      <c r="C505">
        <f t="shared" si="373"/>
        <v>1.3549051510635863</v>
      </c>
      <c r="D505">
        <f t="shared" si="374"/>
        <v>0.74060712793274586</v>
      </c>
      <c r="F505">
        <f t="shared" si="375"/>
        <v>6.6211360462201273E-5</v>
      </c>
      <c r="G505">
        <f t="shared" si="376"/>
        <v>4.722706439628895E-3</v>
      </c>
      <c r="H505">
        <f t="shared" si="377"/>
        <v>-3.1368699435603715</v>
      </c>
      <c r="J505">
        <f t="shared" si="378"/>
        <v>15</v>
      </c>
      <c r="M505">
        <f t="shared" si="379"/>
        <v>5.4829494104249074E-4</v>
      </c>
      <c r="N505">
        <f t="shared" si="380"/>
        <v>-1.5707963250000001</v>
      </c>
      <c r="O505">
        <f t="shared" si="381"/>
        <v>164.55966144674676</v>
      </c>
      <c r="P505">
        <f t="shared" si="382"/>
        <v>1.5647194660020327</v>
      </c>
      <c r="Q505">
        <f t="shared" si="383"/>
        <v>173.1493664322621</v>
      </c>
      <c r="R505">
        <f t="shared" si="384"/>
        <v>1.5650209342548032</v>
      </c>
      <c r="S505">
        <f t="shared" si="385"/>
        <v>0.94027921157332695</v>
      </c>
      <c r="T505">
        <f t="shared" si="386"/>
        <v>-0.3473467128336713</v>
      </c>
      <c r="U505">
        <f t="shared" si="387"/>
        <v>0.11469975225359218</v>
      </c>
      <c r="V505">
        <f t="shared" si="388"/>
        <v>-1.4558435748907705</v>
      </c>
      <c r="X505">
        <f t="shared" si="405"/>
        <v>-52.889789808649788</v>
      </c>
      <c r="Y505">
        <f t="shared" si="389"/>
        <v>-151.29002324892173</v>
      </c>
      <c r="Z505">
        <f t="shared" si="406"/>
        <v>28.709976751078273</v>
      </c>
      <c r="AC505">
        <v>1</v>
      </c>
      <c r="AD505">
        <f t="shared" si="390"/>
        <v>164.55662300700001</v>
      </c>
      <c r="AE505">
        <f t="shared" si="391"/>
        <v>-1.5043823430815517</v>
      </c>
      <c r="AF505">
        <f t="shared" si="392"/>
        <v>0.17369865761849998</v>
      </c>
      <c r="AG505">
        <f t="shared" si="421"/>
        <v>11.807630875677212</v>
      </c>
      <c r="AH505">
        <f t="shared" si="422"/>
        <v>-108.02151070276874</v>
      </c>
      <c r="AJ505">
        <f t="shared" si="393"/>
        <v>10500</v>
      </c>
      <c r="AK505">
        <f t="shared" si="394"/>
        <v>3801.2579914617004</v>
      </c>
      <c r="AL505">
        <v>1</v>
      </c>
      <c r="AM505">
        <f t="shared" si="395"/>
        <v>173.14647872796542</v>
      </c>
      <c r="AN505">
        <f t="shared" si="423"/>
        <v>22.303494144862629</v>
      </c>
      <c r="AO505">
        <f t="shared" si="424"/>
        <v>-60.513483051058166</v>
      </c>
      <c r="AQ505">
        <f t="shared" si="396"/>
        <v>1.1809023061959227E-3</v>
      </c>
      <c r="AR505">
        <f t="shared" si="397"/>
        <v>-3.4364257110301355</v>
      </c>
      <c r="AT505">
        <f t="shared" si="418"/>
        <v>-371.19395306477963</v>
      </c>
      <c r="AU505">
        <f t="shared" si="419"/>
        <v>-40.703609178638111</v>
      </c>
      <c r="AV505">
        <f t="shared" si="407"/>
        <v>-3.0323731198803738</v>
      </c>
      <c r="AW505">
        <f t="shared" si="408"/>
        <v>-176.94932896791153</v>
      </c>
      <c r="AX505">
        <f t="shared" si="409"/>
        <v>-246.81264399190729</v>
      </c>
      <c r="AY505">
        <f t="shared" si="417"/>
        <v>-2.1927997618134616</v>
      </c>
      <c r="BA505">
        <f t="shared" si="398"/>
        <v>1.2296062476576215</v>
      </c>
      <c r="BB505">
        <f t="shared" si="410"/>
        <v>1.7953212231508953</v>
      </c>
      <c r="BC505">
        <f t="shared" si="411"/>
        <v>-0.83957335806691225</v>
      </c>
      <c r="BD505">
        <f t="shared" si="399"/>
        <v>-228.10401006382676</v>
      </c>
      <c r="BF505">
        <f t="shared" si="400"/>
        <v>-55.626025487550727</v>
      </c>
      <c r="BG505">
        <f t="shared" si="401"/>
        <v>-185.39975616030827</v>
      </c>
      <c r="BH505">
        <f t="shared" si="412"/>
        <v>-5.3997561603082715</v>
      </c>
      <c r="BI505">
        <f t="shared" si="413"/>
        <v>-5.3997561603082715</v>
      </c>
      <c r="BJ505">
        <f t="shared" si="402"/>
        <v>0</v>
      </c>
      <c r="BK505">
        <f t="shared" si="414"/>
        <v>0</v>
      </c>
      <c r="BM505">
        <f t="shared" si="415"/>
        <v>-57.42134671070162</v>
      </c>
      <c r="BN505">
        <f t="shared" si="403"/>
        <v>-137.29574609648154</v>
      </c>
      <c r="BQ505" s="56">
        <f t="shared" si="416"/>
        <v>18.697282023436031</v>
      </c>
    </row>
    <row r="506" spans="1:69" x14ac:dyDescent="0.2">
      <c r="A506">
        <f t="shared" si="420"/>
        <v>1460000</v>
      </c>
      <c r="B506">
        <f t="shared" si="404"/>
        <v>1460</v>
      </c>
      <c r="C506">
        <f t="shared" si="373"/>
        <v>1.3570268780430714</v>
      </c>
      <c r="D506">
        <f t="shared" si="374"/>
        <v>0.74231577647351321</v>
      </c>
      <c r="F506">
        <f t="shared" si="375"/>
        <v>6.5758609187119372E-5</v>
      </c>
      <c r="G506">
        <f t="shared" si="376"/>
        <v>4.706530853317412E-3</v>
      </c>
      <c r="H506">
        <f t="shared" si="377"/>
        <v>-3.1368861191466828</v>
      </c>
      <c r="J506">
        <f t="shared" si="378"/>
        <v>15</v>
      </c>
      <c r="M506">
        <f t="shared" si="379"/>
        <v>5.4641721864166033E-4</v>
      </c>
      <c r="N506">
        <f t="shared" si="380"/>
        <v>-1.5707963250000001</v>
      </c>
      <c r="O506">
        <f t="shared" si="381"/>
        <v>165.12513771832235</v>
      </c>
      <c r="P506">
        <f t="shared" si="382"/>
        <v>1.5647402766594176</v>
      </c>
      <c r="Q506">
        <f t="shared" si="383"/>
        <v>173.74436162456729</v>
      </c>
      <c r="R506">
        <f t="shared" si="384"/>
        <v>1.565040712558823</v>
      </c>
      <c r="S506">
        <f t="shared" si="385"/>
        <v>0.93990437718563968</v>
      </c>
      <c r="T506">
        <f t="shared" si="386"/>
        <v>-0.34844618857667631</v>
      </c>
      <c r="U506">
        <f t="shared" si="387"/>
        <v>0.11431208650000314</v>
      </c>
      <c r="V506">
        <f t="shared" si="388"/>
        <v>-1.4562338073753707</v>
      </c>
      <c r="X506">
        <f t="shared" si="405"/>
        <v>-52.938871185404764</v>
      </c>
      <c r="Y506">
        <f t="shared" si="389"/>
        <v>-151.27608010963979</v>
      </c>
      <c r="Z506">
        <f t="shared" si="406"/>
        <v>28.723919890360207</v>
      </c>
      <c r="AC506">
        <v>1</v>
      </c>
      <c r="AD506">
        <f t="shared" si="390"/>
        <v>165.12210968400001</v>
      </c>
      <c r="AE506">
        <f t="shared" si="391"/>
        <v>-1.5147395059163853</v>
      </c>
      <c r="AF506">
        <f t="shared" si="392"/>
        <v>0.17429556022199999</v>
      </c>
      <c r="AG506">
        <f t="shared" si="421"/>
        <v>11.727950168628473</v>
      </c>
      <c r="AH506">
        <f t="shared" si="422"/>
        <v>-107.66074259114573</v>
      </c>
      <c r="AJ506">
        <f t="shared" si="393"/>
        <v>10500</v>
      </c>
      <c r="AK506">
        <f t="shared" si="394"/>
        <v>3814.3207337004001</v>
      </c>
      <c r="AL506">
        <v>1</v>
      </c>
      <c r="AM506">
        <f t="shared" si="395"/>
        <v>173.74148380950481</v>
      </c>
      <c r="AN506">
        <f t="shared" si="423"/>
        <v>22.30110453527541</v>
      </c>
      <c r="AO506">
        <f t="shared" si="424"/>
        <v>-60.306258849226687</v>
      </c>
      <c r="AQ506">
        <f t="shared" si="396"/>
        <v>1.1728277851346658E-3</v>
      </c>
      <c r="AR506">
        <f t="shared" si="397"/>
        <v>-3.4246571325932242</v>
      </c>
      <c r="AT506">
        <f t="shared" si="418"/>
        <v>-368.68737514922992</v>
      </c>
      <c r="AU506">
        <f t="shared" si="419"/>
        <v>-40.290475705970536</v>
      </c>
      <c r="AV506">
        <f t="shared" si="407"/>
        <v>-3.03274371856571</v>
      </c>
      <c r="AW506">
        <f t="shared" si="408"/>
        <v>-175.58858463302863</v>
      </c>
      <c r="AX506">
        <f t="shared" si="409"/>
        <v>-245.9654781445617</v>
      </c>
      <c r="AY506">
        <f t="shared" si="417"/>
        <v>-2.1907737437202957</v>
      </c>
      <c r="BA506">
        <f t="shared" si="398"/>
        <v>1.2272372832593799</v>
      </c>
      <c r="BB506">
        <f t="shared" si="410"/>
        <v>1.7785708119524135</v>
      </c>
      <c r="BC506">
        <f t="shared" si="411"/>
        <v>-0.84196997484541436</v>
      </c>
      <c r="BD506">
        <f t="shared" si="399"/>
        <v>-228.24132609050207</v>
      </c>
      <c r="BF506">
        <f t="shared" si="400"/>
        <v>-55.688782630784893</v>
      </c>
      <c r="BG506">
        <f t="shared" si="401"/>
        <v>-185.44010062964244</v>
      </c>
      <c r="BH506">
        <f t="shared" si="412"/>
        <v>-5.4401006296424441</v>
      </c>
      <c r="BI506">
        <f t="shared" si="413"/>
        <v>-5.4401006296424441</v>
      </c>
      <c r="BJ506">
        <f t="shared" si="402"/>
        <v>0</v>
      </c>
      <c r="BK506">
        <f t="shared" si="414"/>
        <v>0</v>
      </c>
      <c r="BM506">
        <f t="shared" si="415"/>
        <v>-57.467353442737306</v>
      </c>
      <c r="BN506">
        <f t="shared" si="403"/>
        <v>-137.19877453914037</v>
      </c>
      <c r="BQ506" s="56">
        <f t="shared" si="416"/>
        <v>18.680531612237552</v>
      </c>
    </row>
    <row r="507" spans="1:69" x14ac:dyDescent="0.2">
      <c r="A507">
        <f t="shared" si="420"/>
        <v>1465000</v>
      </c>
      <c r="B507">
        <f t="shared" si="404"/>
        <v>1465</v>
      </c>
      <c r="C507">
        <f t="shared" si="373"/>
        <v>1.3591525544591261</v>
      </c>
      <c r="D507">
        <f t="shared" si="374"/>
        <v>0.74401908541747108</v>
      </c>
      <c r="F507">
        <f t="shared" si="375"/>
        <v>6.53104860191386E-5</v>
      </c>
      <c r="G507">
        <f t="shared" si="376"/>
        <v>4.6904657002677314E-3</v>
      </c>
      <c r="H507">
        <f t="shared" si="377"/>
        <v>-3.1369021842997324</v>
      </c>
      <c r="J507">
        <f t="shared" si="378"/>
        <v>15</v>
      </c>
      <c r="M507">
        <f t="shared" si="379"/>
        <v>5.4455231345858289E-4</v>
      </c>
      <c r="N507">
        <f t="shared" si="380"/>
        <v>-1.5707963250000001</v>
      </c>
      <c r="O507">
        <f t="shared" si="381"/>
        <v>165.69061406092274</v>
      </c>
      <c r="P507">
        <f t="shared" si="382"/>
        <v>1.5647609452697258</v>
      </c>
      <c r="Q507">
        <f t="shared" si="383"/>
        <v>174.33935688437415</v>
      </c>
      <c r="R507">
        <f t="shared" si="384"/>
        <v>1.5650603558618117</v>
      </c>
      <c r="S507">
        <f t="shared" si="385"/>
        <v>0.93952870713979963</v>
      </c>
      <c r="T507">
        <f t="shared" si="386"/>
        <v>-0.34954478674869854</v>
      </c>
      <c r="U507">
        <f t="shared" si="387"/>
        <v>0.11392701523469373</v>
      </c>
      <c r="V507">
        <f t="shared" si="388"/>
        <v>-1.4566214108473003</v>
      </c>
      <c r="X507">
        <f t="shared" si="405"/>
        <v>-52.987757823853123</v>
      </c>
      <c r="Y507">
        <f t="shared" si="389"/>
        <v>-151.26225154060316</v>
      </c>
      <c r="Z507">
        <f t="shared" si="406"/>
        <v>28.73774845939684</v>
      </c>
      <c r="AC507">
        <v>1</v>
      </c>
      <c r="AD507">
        <f t="shared" si="390"/>
        <v>165.687596361</v>
      </c>
      <c r="AE507">
        <f t="shared" si="391"/>
        <v>-1.5251321993269817</v>
      </c>
      <c r="AF507">
        <f t="shared" si="392"/>
        <v>0.1748924628255</v>
      </c>
      <c r="AG507">
        <f t="shared" si="421"/>
        <v>11.649069793054581</v>
      </c>
      <c r="AH507">
        <f t="shared" si="422"/>
        <v>-107.30234528356492</v>
      </c>
      <c r="AJ507">
        <f t="shared" si="393"/>
        <v>10500</v>
      </c>
      <c r="AK507">
        <f t="shared" si="394"/>
        <v>3827.3834759391007</v>
      </c>
      <c r="AL507">
        <v>1</v>
      </c>
      <c r="AM507">
        <f t="shared" si="395"/>
        <v>174.33648889104421</v>
      </c>
      <c r="AN507">
        <f t="shared" si="423"/>
        <v>22.298739349830811</v>
      </c>
      <c r="AO507">
        <f t="shared" si="424"/>
        <v>-60.100449006968709</v>
      </c>
      <c r="AQ507">
        <f t="shared" si="396"/>
        <v>1.1648357971745975E-3</v>
      </c>
      <c r="AR507">
        <f t="shared" si="397"/>
        <v>-3.412968885721571</v>
      </c>
      <c r="AT507">
        <f t="shared" si="418"/>
        <v>-366.20599656426106</v>
      </c>
      <c r="AU507">
        <f t="shared" si="419"/>
        <v>-39.882902364201392</v>
      </c>
      <c r="AV507">
        <f t="shared" si="407"/>
        <v>-3.0331118222522919</v>
      </c>
      <c r="AW507">
        <f t="shared" si="408"/>
        <v>-174.24175874599803</v>
      </c>
      <c r="AX507">
        <f t="shared" si="409"/>
        <v>-245.12411571384098</v>
      </c>
      <c r="AY507">
        <f t="shared" si="417"/>
        <v>-2.1887543248987322</v>
      </c>
      <c r="BA507">
        <f t="shared" si="398"/>
        <v>1.2248732526722175</v>
      </c>
      <c r="BB507">
        <f t="shared" si="410"/>
        <v>1.7618230227790421</v>
      </c>
      <c r="BC507">
        <f t="shared" si="411"/>
        <v>-0.84435749735355969</v>
      </c>
      <c r="BD507">
        <f t="shared" si="399"/>
        <v>-228.3781210538676</v>
      </c>
      <c r="BF507">
        <f t="shared" si="400"/>
        <v>-55.751329369199894</v>
      </c>
      <c r="BG507">
        <f t="shared" si="401"/>
        <v>-185.4802236446688</v>
      </c>
      <c r="BH507">
        <f t="shared" si="412"/>
        <v>-5.4802236446687971</v>
      </c>
      <c r="BI507">
        <f t="shared" si="413"/>
        <v>-5.4802236446687971</v>
      </c>
      <c r="BJ507">
        <f t="shared" si="402"/>
        <v>0</v>
      </c>
      <c r="BK507">
        <f t="shared" si="414"/>
        <v>0</v>
      </c>
      <c r="BM507">
        <f t="shared" si="415"/>
        <v>-57.513152391978934</v>
      </c>
      <c r="BN507">
        <f t="shared" si="403"/>
        <v>-137.10210259080119</v>
      </c>
      <c r="BQ507" s="56">
        <f t="shared" si="416"/>
        <v>18.663783823064179</v>
      </c>
    </row>
    <row r="508" spans="1:69" x14ac:dyDescent="0.2">
      <c r="A508">
        <f t="shared" si="420"/>
        <v>1470000</v>
      </c>
      <c r="B508">
        <f t="shared" si="404"/>
        <v>1470</v>
      </c>
      <c r="C508">
        <f t="shared" si="373"/>
        <v>1.3612821618103157</v>
      </c>
      <c r="D508">
        <f t="shared" si="374"/>
        <v>0.74571706991798892</v>
      </c>
      <c r="F508">
        <f t="shared" si="375"/>
        <v>6.4866928092218324E-5</v>
      </c>
      <c r="G508">
        <f t="shared" si="376"/>
        <v>4.6745098533431048E-3</v>
      </c>
      <c r="H508">
        <f t="shared" si="377"/>
        <v>-3.136918140146657</v>
      </c>
      <c r="J508">
        <f t="shared" si="378"/>
        <v>15</v>
      </c>
      <c r="M508">
        <f t="shared" si="379"/>
        <v>5.4270009470532249E-4</v>
      </c>
      <c r="N508">
        <f t="shared" si="380"/>
        <v>-1.5707963250000001</v>
      </c>
      <c r="O508">
        <f t="shared" si="381"/>
        <v>166.25609047382332</v>
      </c>
      <c r="P508">
        <f t="shared" si="382"/>
        <v>1.5647814732823471</v>
      </c>
      <c r="Q508">
        <f t="shared" si="383"/>
        <v>174.93435221099386</v>
      </c>
      <c r="R508">
        <f t="shared" si="384"/>
        <v>1.5650798655412705</v>
      </c>
      <c r="S508">
        <f t="shared" si="385"/>
        <v>0.93915220515619668</v>
      </c>
      <c r="T508">
        <f t="shared" si="386"/>
        <v>-0.35064250575134065</v>
      </c>
      <c r="U508">
        <f t="shared" si="387"/>
        <v>0.11354451267171735</v>
      </c>
      <c r="V508">
        <f t="shared" si="388"/>
        <v>-1.4570064116697232</v>
      </c>
      <c r="X508">
        <f t="shared" si="405"/>
        <v>-53.036451205937674</v>
      </c>
      <c r="Y508">
        <f t="shared" si="389"/>
        <v>-151.24853799511547</v>
      </c>
      <c r="Z508">
        <f t="shared" si="406"/>
        <v>28.75146200488453</v>
      </c>
      <c r="AC508">
        <v>1</v>
      </c>
      <c r="AD508">
        <f t="shared" si="390"/>
        <v>166.25308303800003</v>
      </c>
      <c r="AE508">
        <f t="shared" si="391"/>
        <v>-1.5355604233133406</v>
      </c>
      <c r="AF508">
        <f t="shared" si="392"/>
        <v>0.17548936542899998</v>
      </c>
      <c r="AG508">
        <f t="shared" si="421"/>
        <v>11.570979113423592</v>
      </c>
      <c r="AH508">
        <f t="shared" si="422"/>
        <v>-106.9462958036152</v>
      </c>
      <c r="AJ508">
        <f t="shared" si="393"/>
        <v>10500</v>
      </c>
      <c r="AK508">
        <f t="shared" si="394"/>
        <v>3840.4462181778003</v>
      </c>
      <c r="AL508">
        <v>1</v>
      </c>
      <c r="AM508">
        <f t="shared" si="395"/>
        <v>174.93149397258364</v>
      </c>
      <c r="AN508">
        <f t="shared" si="423"/>
        <v>22.296398256811472</v>
      </c>
      <c r="AO508">
        <f t="shared" si="424"/>
        <v>-59.896039093939933</v>
      </c>
      <c r="AQ508">
        <f t="shared" si="396"/>
        <v>1.1569252213284719E-3</v>
      </c>
      <c r="AR508">
        <f t="shared" si="397"/>
        <v>-3.401360150705707</v>
      </c>
      <c r="AT508">
        <f t="shared" si="418"/>
        <v>-363.74948205442996</v>
      </c>
      <c r="AU508">
        <f t="shared" si="419"/>
        <v>-39.480796127989912</v>
      </c>
      <c r="AV508">
        <f t="shared" si="407"/>
        <v>-3.033477455935865</v>
      </c>
      <c r="AW508">
        <f t="shared" si="408"/>
        <v>-172.90866210145091</v>
      </c>
      <c r="AX508">
        <f t="shared" si="409"/>
        <v>-244.28849718115379</v>
      </c>
      <c r="AY508">
        <f t="shared" si="417"/>
        <v>-2.1867414769905769</v>
      </c>
      <c r="BA508">
        <f t="shared" si="398"/>
        <v>1.2225141760660014</v>
      </c>
      <c r="BB508">
        <f t="shared" si="410"/>
        <v>1.7450780765928138</v>
      </c>
      <c r="BC508">
        <f t="shared" si="411"/>
        <v>-0.84673597894528818</v>
      </c>
      <c r="BD508">
        <f t="shared" si="399"/>
        <v>-228.51439801087892</v>
      </c>
      <c r="BF508">
        <f t="shared" si="400"/>
        <v>-55.813667040712744</v>
      </c>
      <c r="BG508">
        <f t="shared" si="401"/>
        <v>-185.52012745869902</v>
      </c>
      <c r="BH508">
        <f t="shared" si="412"/>
        <v>-5.5201274586990223</v>
      </c>
      <c r="BI508">
        <f t="shared" si="413"/>
        <v>-5.5201274586990223</v>
      </c>
      <c r="BJ508">
        <f t="shared" si="402"/>
        <v>0</v>
      </c>
      <c r="BK508">
        <f t="shared" si="414"/>
        <v>0</v>
      </c>
      <c r="BM508">
        <f t="shared" si="415"/>
        <v>-57.558745117305563</v>
      </c>
      <c r="BN508">
        <f t="shared" si="403"/>
        <v>-137.0057294478201</v>
      </c>
      <c r="BQ508" s="56">
        <f t="shared" si="416"/>
        <v>18.64703887687795</v>
      </c>
    </row>
    <row r="509" spans="1:69" x14ac:dyDescent="0.2">
      <c r="A509">
        <f t="shared" si="420"/>
        <v>1475000</v>
      </c>
      <c r="B509">
        <f t="shared" si="404"/>
        <v>1475</v>
      </c>
      <c r="C509">
        <f t="shared" si="373"/>
        <v>1.3634156816766936</v>
      </c>
      <c r="D509">
        <f t="shared" si="374"/>
        <v>0.74740974515665759</v>
      </c>
      <c r="F509">
        <f t="shared" si="375"/>
        <v>6.4427873604152355E-5</v>
      </c>
      <c r="G509">
        <f t="shared" si="376"/>
        <v>4.6586622006944975E-3</v>
      </c>
      <c r="H509">
        <f t="shared" si="377"/>
        <v>-3.1369339877993059</v>
      </c>
      <c r="J509">
        <f t="shared" si="378"/>
        <v>15</v>
      </c>
      <c r="M509">
        <f t="shared" si="379"/>
        <v>5.4086043336733832E-4</v>
      </c>
      <c r="N509">
        <f t="shared" si="380"/>
        <v>-1.5707963250000001</v>
      </c>
      <c r="O509">
        <f t="shared" si="381"/>
        <v>166.82156695630908</v>
      </c>
      <c r="P509">
        <f t="shared" si="382"/>
        <v>1.5648018621270192</v>
      </c>
      <c r="Q509">
        <f t="shared" si="383"/>
        <v>175.529347603747</v>
      </c>
      <c r="R509">
        <f t="shared" si="384"/>
        <v>1.5650992429560238</v>
      </c>
      <c r="S509">
        <f t="shared" si="385"/>
        <v>0.9387748749550261</v>
      </c>
      <c r="T509">
        <f t="shared" si="386"/>
        <v>-0.35173934399723772</v>
      </c>
      <c r="U509">
        <f t="shared" si="387"/>
        <v>0.11316455336338288</v>
      </c>
      <c r="V509">
        <f t="shared" si="388"/>
        <v>-1.4573888358560316</v>
      </c>
      <c r="X509">
        <f t="shared" si="405"/>
        <v>-53.08495279884994</v>
      </c>
      <c r="Y509">
        <f t="shared" si="389"/>
        <v>-151.23493990677545</v>
      </c>
      <c r="Z509">
        <f t="shared" si="406"/>
        <v>28.765060093224548</v>
      </c>
      <c r="AC509">
        <v>1</v>
      </c>
      <c r="AD509">
        <f t="shared" si="390"/>
        <v>166.81856971500002</v>
      </c>
      <c r="AE509">
        <f t="shared" si="391"/>
        <v>-1.5460241778754624</v>
      </c>
      <c r="AF509">
        <f t="shared" si="392"/>
        <v>0.17608626803249999</v>
      </c>
      <c r="AG509">
        <f t="shared" si="421"/>
        <v>11.493667669503019</v>
      </c>
      <c r="AH509">
        <f t="shared" si="422"/>
        <v>-106.59257146646398</v>
      </c>
      <c r="AJ509">
        <f t="shared" si="393"/>
        <v>10500</v>
      </c>
      <c r="AK509">
        <f t="shared" si="394"/>
        <v>3853.5089604165005</v>
      </c>
      <c r="AL509">
        <v>1</v>
      </c>
      <c r="AM509">
        <f t="shared" si="395"/>
        <v>175.52649905412301</v>
      </c>
      <c r="AN509">
        <f t="shared" si="423"/>
        <v>22.294080930112482</v>
      </c>
      <c r="AO509">
        <f t="shared" si="424"/>
        <v>-59.693014875429839</v>
      </c>
      <c r="AQ509">
        <f t="shared" si="396"/>
        <v>1.1490949555765637E-3</v>
      </c>
      <c r="AR509">
        <f t="shared" si="397"/>
        <v>-3.3898301189508624</v>
      </c>
      <c r="AT509">
        <f t="shared" si="418"/>
        <v>-361.31750189790176</v>
      </c>
      <c r="AU509">
        <f t="shared" si="419"/>
        <v>-39.08406582946715</v>
      </c>
      <c r="AV509">
        <f t="shared" si="407"/>
        <v>-3.0338406442809425</v>
      </c>
      <c r="AW509">
        <f t="shared" si="408"/>
        <v>-171.58910869863752</v>
      </c>
      <c r="AX509">
        <f t="shared" si="409"/>
        <v>-243.45856384038922</v>
      </c>
      <c r="AY509">
        <f t="shared" si="417"/>
        <v>-2.1847351717054799</v>
      </c>
      <c r="BA509">
        <f t="shared" si="398"/>
        <v>1.2201600729507687</v>
      </c>
      <c r="BB509">
        <f t="shared" si="410"/>
        <v>1.7283361911823651</v>
      </c>
      <c r="BC509">
        <f t="shared" si="411"/>
        <v>-0.84910547257546254</v>
      </c>
      <c r="BD509">
        <f t="shared" si="399"/>
        <v>-228.65015999562618</v>
      </c>
      <c r="BF509">
        <f t="shared" si="400"/>
        <v>-55.875796970795676</v>
      </c>
      <c r="BG509">
        <f t="shared" si="401"/>
        <v>-185.55981429968648</v>
      </c>
      <c r="BH509">
        <f t="shared" si="412"/>
        <v>-5.5598142996864794</v>
      </c>
      <c r="BI509">
        <f t="shared" si="413"/>
        <v>-5.5598142996864794</v>
      </c>
      <c r="BJ509">
        <f t="shared" si="402"/>
        <v>0</v>
      </c>
      <c r="BK509">
        <f t="shared" si="414"/>
        <v>0</v>
      </c>
      <c r="BM509">
        <f t="shared" si="415"/>
        <v>-57.604133161978041</v>
      </c>
      <c r="BN509">
        <f t="shared" si="403"/>
        <v>-136.9096543040603</v>
      </c>
      <c r="BQ509" s="56">
        <f t="shared" si="416"/>
        <v>18.6302969914675</v>
      </c>
    </row>
    <row r="510" spans="1:69" x14ac:dyDescent="0.2">
      <c r="A510">
        <f t="shared" si="420"/>
        <v>1480000</v>
      </c>
      <c r="B510">
        <f t="shared" si="404"/>
        <v>1480</v>
      </c>
      <c r="C510">
        <f t="shared" si="373"/>
        <v>1.3655530957196931</v>
      </c>
      <c r="D510">
        <f t="shared" si="374"/>
        <v>0.74909712634197223</v>
      </c>
      <c r="F510">
        <f t="shared" si="375"/>
        <v>6.399326179503832E-5</v>
      </c>
      <c r="G510">
        <f t="shared" si="376"/>
        <v>4.642921645502244E-3</v>
      </c>
      <c r="H510">
        <f t="shared" si="377"/>
        <v>-3.136949728354498</v>
      </c>
      <c r="J510">
        <f t="shared" si="378"/>
        <v>15</v>
      </c>
      <c r="M510">
        <f t="shared" si="379"/>
        <v>5.3903320217352972E-4</v>
      </c>
      <c r="N510">
        <f t="shared" si="380"/>
        <v>-1.5707963250000001</v>
      </c>
      <c r="O510">
        <f t="shared" si="381"/>
        <v>167.38704350767486</v>
      </c>
      <c r="P510">
        <f t="shared" si="382"/>
        <v>1.5648221132141609</v>
      </c>
      <c r="Q510">
        <f t="shared" si="383"/>
        <v>176.12434306196332</v>
      </c>
      <c r="R510">
        <f t="shared" si="384"/>
        <v>1.565118489446534</v>
      </c>
      <c r="S510">
        <f t="shared" si="385"/>
        <v>0.93839672025620691</v>
      </c>
      <c r="T510">
        <f t="shared" si="386"/>
        <v>-0.35283529991004769</v>
      </c>
      <c r="U510">
        <f t="shared" si="387"/>
        <v>0.11278711219476528</v>
      </c>
      <c r="V510">
        <f t="shared" si="388"/>
        <v>-1.4577687090756022</v>
      </c>
      <c r="X510">
        <f t="shared" si="405"/>
        <v>-53.133264055212109</v>
      </c>
      <c r="Y510">
        <f t="shared" si="389"/>
        <v>-151.22145768985882</v>
      </c>
      <c r="Z510">
        <f t="shared" si="406"/>
        <v>28.778542310141177</v>
      </c>
      <c r="AC510">
        <v>1</v>
      </c>
      <c r="AD510">
        <f t="shared" si="390"/>
        <v>167.38405639200002</v>
      </c>
      <c r="AE510">
        <f t="shared" si="391"/>
        <v>-1.5565234630133469</v>
      </c>
      <c r="AF510">
        <f t="shared" si="392"/>
        <v>0.17668317063599998</v>
      </c>
      <c r="AG510">
        <f t="shared" si="421"/>
        <v>11.417125172919663</v>
      </c>
      <c r="AH510">
        <f t="shared" si="422"/>
        <v>-106.24114987432252</v>
      </c>
      <c r="AJ510">
        <f t="shared" si="393"/>
        <v>10500</v>
      </c>
      <c r="AK510">
        <f t="shared" si="394"/>
        <v>3866.5717026552002</v>
      </c>
      <c r="AL510">
        <v>1</v>
      </c>
      <c r="AM510">
        <f t="shared" si="395"/>
        <v>176.12150413566241</v>
      </c>
      <c r="AN510">
        <f t="shared" si="423"/>
        <v>22.291787049127741</v>
      </c>
      <c r="AO510">
        <f t="shared" si="424"/>
        <v>-59.491362309057557</v>
      </c>
      <c r="AQ510">
        <f t="shared" si="396"/>
        <v>1.1413439164828438E-3</v>
      </c>
      <c r="AR510">
        <f t="shared" si="397"/>
        <v>-3.3783779927892175</v>
      </c>
      <c r="AT510">
        <f t="shared" si="418"/>
        <v>-358.90973179767229</v>
      </c>
      <c r="AU510">
        <f t="shared" si="419"/>
        <v>-38.692622115200777</v>
      </c>
      <c r="AV510">
        <f t="shared" si="407"/>
        <v>-3.0342014116262495</v>
      </c>
      <c r="AW510">
        <f t="shared" si="408"/>
        <v>-170.28291567650464</v>
      </c>
      <c r="AX510">
        <f t="shared" si="409"/>
        <v>-242.63425778407304</v>
      </c>
      <c r="AY510">
        <f t="shared" si="417"/>
        <v>-2.1827353808221783</v>
      </c>
      <c r="BA510">
        <f t="shared" si="398"/>
        <v>1.2178109621879158</v>
      </c>
      <c r="BB510">
        <f t="shared" si="410"/>
        <v>1.7115975812036113</v>
      </c>
      <c r="BC510">
        <f t="shared" si="411"/>
        <v>-0.85146603080407113</v>
      </c>
      <c r="BD510">
        <f t="shared" si="399"/>
        <v>-228.78541001957487</v>
      </c>
      <c r="BF510">
        <f t="shared" si="400"/>
        <v>-55.937720472634624</v>
      </c>
      <c r="BG510">
        <f t="shared" si="401"/>
        <v>-185.59928637055711</v>
      </c>
      <c r="BH510">
        <f t="shared" si="412"/>
        <v>-5.5992863705571096</v>
      </c>
      <c r="BI510">
        <f t="shared" si="413"/>
        <v>-5.5992863705571096</v>
      </c>
      <c r="BJ510">
        <f t="shared" si="402"/>
        <v>0</v>
      </c>
      <c r="BK510">
        <f t="shared" si="414"/>
        <v>0</v>
      </c>
      <c r="BM510">
        <f t="shared" si="415"/>
        <v>-57.649318053838236</v>
      </c>
      <c r="BN510">
        <f t="shared" si="403"/>
        <v>-136.81387635098224</v>
      </c>
      <c r="BQ510" s="56">
        <f t="shared" si="416"/>
        <v>18.613558381488748</v>
      </c>
    </row>
    <row r="511" spans="1:69" x14ac:dyDescent="0.2">
      <c r="A511">
        <f t="shared" si="420"/>
        <v>1485000</v>
      </c>
      <c r="B511">
        <f t="shared" si="404"/>
        <v>1485</v>
      </c>
      <c r="C511">
        <f t="shared" si="373"/>
        <v>1.3676943856820163</v>
      </c>
      <c r="D511">
        <f t="shared" si="374"/>
        <v>0.75077922870803326</v>
      </c>
      <c r="F511">
        <f t="shared" si="375"/>
        <v>6.356303292625401E-5</v>
      </c>
      <c r="G511">
        <f t="shared" si="376"/>
        <v>4.6272871057229589E-3</v>
      </c>
      <c r="H511">
        <f t="shared" si="377"/>
        <v>-3.1369653628942773</v>
      </c>
      <c r="J511">
        <f t="shared" si="378"/>
        <v>15</v>
      </c>
      <c r="M511">
        <f t="shared" si="379"/>
        <v>5.3721827556688485E-4</v>
      </c>
      <c r="N511">
        <f t="shared" si="380"/>
        <v>-1.5707963250000001</v>
      </c>
      <c r="O511">
        <f t="shared" si="381"/>
        <v>167.95252012722489</v>
      </c>
      <c r="P511">
        <f t="shared" si="382"/>
        <v>1.5648422279351963</v>
      </c>
      <c r="Q511">
        <f t="shared" si="383"/>
        <v>176.71933858498161</v>
      </c>
      <c r="R511">
        <f t="shared" si="384"/>
        <v>1.5651376063352118</v>
      </c>
      <c r="S511">
        <f t="shared" si="385"/>
        <v>0.93801774477930289</v>
      </c>
      <c r="T511">
        <f t="shared" si="386"/>
        <v>-0.35393037192444199</v>
      </c>
      <c r="U511">
        <f t="shared" si="387"/>
        <v>0.11241216437832213</v>
      </c>
      <c r="V511">
        <f t="shared" si="388"/>
        <v>-1.4581460566594391</v>
      </c>
      <c r="X511">
        <f t="shared" si="405"/>
        <v>-53.181386413256206</v>
      </c>
      <c r="Y511">
        <f t="shared" si="389"/>
        <v>-151.20809173969417</v>
      </c>
      <c r="Z511">
        <f t="shared" si="406"/>
        <v>28.791908260305831</v>
      </c>
      <c r="AC511">
        <v>1</v>
      </c>
      <c r="AD511">
        <f t="shared" si="390"/>
        <v>167.94954306900001</v>
      </c>
      <c r="AE511">
        <f t="shared" si="391"/>
        <v>-1.5670582787269942</v>
      </c>
      <c r="AF511">
        <f t="shared" si="392"/>
        <v>0.17728007323949999</v>
      </c>
      <c r="AG511">
        <f t="shared" si="421"/>
        <v>11.341341503797578</v>
      </c>
      <c r="AH511">
        <f t="shared" si="422"/>
        <v>-105.89200891199384</v>
      </c>
      <c r="AJ511">
        <f t="shared" si="393"/>
        <v>10500</v>
      </c>
      <c r="AK511">
        <f t="shared" si="394"/>
        <v>3879.6344448939008</v>
      </c>
      <c r="AL511">
        <v>1</v>
      </c>
      <c r="AM511">
        <f t="shared" si="395"/>
        <v>176.71650921720183</v>
      </c>
      <c r="AN511">
        <f t="shared" si="423"/>
        <v>22.289516298639146</v>
      </c>
      <c r="AO511">
        <f t="shared" si="424"/>
        <v>-59.291067541534744</v>
      </c>
      <c r="AQ511">
        <f t="shared" si="396"/>
        <v>1.133671038820184E-3</v>
      </c>
      <c r="AR511">
        <f t="shared" si="397"/>
        <v>-3.3670029852959464</v>
      </c>
      <c r="AT511">
        <f t="shared" si="418"/>
        <v>-356.52585277526401</v>
      </c>
      <c r="AU511">
        <f t="shared" si="419"/>
        <v>-38.306377404293279</v>
      </c>
      <c r="AV511">
        <f t="shared" si="407"/>
        <v>-3.0345597819900592</v>
      </c>
      <c r="AW511">
        <f t="shared" si="408"/>
        <v>-168.98990325030354</v>
      </c>
      <c r="AX511">
        <f t="shared" si="409"/>
        <v>-241.81552188980822</v>
      </c>
      <c r="AY511">
        <f t="shared" si="417"/>
        <v>-2.1807420761896998</v>
      </c>
      <c r="BA511">
        <f t="shared" si="398"/>
        <v>1.2154668620012117</v>
      </c>
      <c r="BB511">
        <f t="shared" si="410"/>
        <v>1.6948624582197955</v>
      </c>
      <c r="BC511">
        <f t="shared" si="411"/>
        <v>-0.85381770580035932</v>
      </c>
      <c r="BD511">
        <f t="shared" si="399"/>
        <v>-228.92015107180259</v>
      </c>
      <c r="BF511">
        <f t="shared" si="400"/>
        <v>-55.99943884728512</v>
      </c>
      <c r="BG511">
        <f t="shared" si="401"/>
        <v>-185.63854584953543</v>
      </c>
      <c r="BH511">
        <f t="shared" si="412"/>
        <v>-5.6385458495354328</v>
      </c>
      <c r="BI511">
        <f t="shared" si="413"/>
        <v>-5.6385458495354328</v>
      </c>
      <c r="BJ511">
        <f t="shared" si="402"/>
        <v>0</v>
      </c>
      <c r="BK511">
        <f t="shared" si="414"/>
        <v>0</v>
      </c>
      <c r="BM511">
        <f t="shared" si="415"/>
        <v>-57.694301305504922</v>
      </c>
      <c r="BN511">
        <f t="shared" si="403"/>
        <v>-136.71839477773284</v>
      </c>
      <c r="BQ511" s="56">
        <f t="shared" si="416"/>
        <v>18.596823258504934</v>
      </c>
    </row>
    <row r="512" spans="1:69" x14ac:dyDescent="0.2">
      <c r="A512">
        <f t="shared" si="420"/>
        <v>1490000</v>
      </c>
      <c r="B512">
        <f t="shared" si="404"/>
        <v>1490</v>
      </c>
      <c r="C512">
        <f t="shared" si="373"/>
        <v>1.3698395333875188</v>
      </c>
      <c r="D512">
        <f t="shared" si="374"/>
        <v>0.75245606751326422</v>
      </c>
      <c r="F512">
        <f t="shared" si="375"/>
        <v>6.3137128259926648E-5</v>
      </c>
      <c r="G512">
        <f t="shared" si="376"/>
        <v>4.6117575138415147E-3</v>
      </c>
      <c r="H512">
        <f t="shared" si="377"/>
        <v>-3.1369808924861586</v>
      </c>
      <c r="J512">
        <f t="shared" si="378"/>
        <v>15</v>
      </c>
      <c r="M512">
        <f t="shared" si="379"/>
        <v>5.3541552967572084E-4</v>
      </c>
      <c r="N512">
        <f t="shared" si="380"/>
        <v>-1.5707963250000001</v>
      </c>
      <c r="O512">
        <f t="shared" si="381"/>
        <v>168.51799681427281</v>
      </c>
      <c r="P512">
        <f t="shared" si="382"/>
        <v>1.5648622076628738</v>
      </c>
      <c r="Q512">
        <f t="shared" si="383"/>
        <v>177.3143341721495</v>
      </c>
      <c r="R512">
        <f t="shared" si="384"/>
        <v>1.5651565949267177</v>
      </c>
      <c r="S512">
        <f t="shared" si="385"/>
        <v>0.93763795224344237</v>
      </c>
      <c r="T512">
        <f t="shared" si="386"/>
        <v>-0.35502455848609549</v>
      </c>
      <c r="U512">
        <f t="shared" si="387"/>
        <v>0.11203968544861331</v>
      </c>
      <c r="V512">
        <f t="shared" si="388"/>
        <v>-1.4585209036057076</v>
      </c>
      <c r="X512">
        <f t="shared" si="405"/>
        <v>-53.229321297000574</v>
      </c>
      <c r="Y512">
        <f t="shared" si="389"/>
        <v>-151.19484243303123</v>
      </c>
      <c r="Z512">
        <f t="shared" si="406"/>
        <v>28.805157566968774</v>
      </c>
      <c r="AC512">
        <v>1</v>
      </c>
      <c r="AD512">
        <f t="shared" si="390"/>
        <v>168.51502974600001</v>
      </c>
      <c r="AE512">
        <f t="shared" si="391"/>
        <v>-1.577628625016404</v>
      </c>
      <c r="AF512">
        <f t="shared" si="392"/>
        <v>0.177876975843</v>
      </c>
      <c r="AG512">
        <f t="shared" si="421"/>
        <v>11.266306707472138</v>
      </c>
      <c r="AH512">
        <f t="shared" si="422"/>
        <v>-105.54512674250175</v>
      </c>
      <c r="AJ512">
        <f t="shared" si="393"/>
        <v>10500</v>
      </c>
      <c r="AK512">
        <f t="shared" si="394"/>
        <v>3892.6971871326004</v>
      </c>
      <c r="AL512">
        <v>1</v>
      </c>
      <c r="AM512">
        <f t="shared" si="395"/>
        <v>177.3115142987412</v>
      </c>
      <c r="AN512">
        <f t="shared" si="423"/>
        <v>22.287268368708244</v>
      </c>
      <c r="AO512">
        <f t="shared" si="424"/>
        <v>-59.092116905493469</v>
      </c>
      <c r="AQ512">
        <f t="shared" si="396"/>
        <v>1.1260752752043517E-3</v>
      </c>
      <c r="AR512">
        <f t="shared" si="397"/>
        <v>-3.355704320108968</v>
      </c>
      <c r="AT512">
        <f t="shared" si="418"/>
        <v>-354.16555106683558</v>
      </c>
      <c r="AU512">
        <f t="shared" si="419"/>
        <v>-37.925245847579937</v>
      </c>
      <c r="AV512">
        <f t="shared" si="407"/>
        <v>-3.0349157790754244</v>
      </c>
      <c r="AW512">
        <f t="shared" si="408"/>
        <v>-167.70989464968611</v>
      </c>
      <c r="AX512">
        <f t="shared" si="409"/>
        <v>-241.00229980698947</v>
      </c>
      <c r="AY512">
        <f t="shared" si="417"/>
        <v>-2.1787552297285395</v>
      </c>
      <c r="BA512">
        <f t="shared" si="398"/>
        <v>1.2131277899876467</v>
      </c>
      <c r="BB512">
        <f t="shared" si="410"/>
        <v>1.6781310307410218</v>
      </c>
      <c r="BC512">
        <f t="shared" si="411"/>
        <v>-0.8561605493468849</v>
      </c>
      <c r="BD512">
        <f t="shared" si="399"/>
        <v>-229.05438611923137</v>
      </c>
      <c r="BF512">
        <f t="shared" si="400"/>
        <v>-56.060953383825606</v>
      </c>
      <c r="BG512">
        <f t="shared" si="401"/>
        <v>-185.67759489046429</v>
      </c>
      <c r="BH512">
        <f t="shared" si="412"/>
        <v>-5.6775948904642917</v>
      </c>
      <c r="BI512">
        <f t="shared" si="413"/>
        <v>-5.6775948904642917</v>
      </c>
      <c r="BJ512">
        <f t="shared" si="402"/>
        <v>0</v>
      </c>
      <c r="BK512">
        <f t="shared" si="414"/>
        <v>0</v>
      </c>
      <c r="BM512">
        <f t="shared" si="415"/>
        <v>-57.739084414566634</v>
      </c>
      <c r="BN512">
        <f t="shared" si="403"/>
        <v>-136.62320877123295</v>
      </c>
      <c r="BQ512" s="56">
        <f t="shared" si="416"/>
        <v>18.580091831026159</v>
      </c>
    </row>
    <row r="513" spans="1:69" x14ac:dyDescent="0.2">
      <c r="A513">
        <f t="shared" si="420"/>
        <v>1495000</v>
      </c>
      <c r="B513">
        <f t="shared" si="404"/>
        <v>1495</v>
      </c>
      <c r="C513">
        <f t="shared" si="373"/>
        <v>1.3719885207410885</v>
      </c>
      <c r="D513">
        <f t="shared" si="374"/>
        <v>0.75412765803914705</v>
      </c>
      <c r="F513">
        <f t="shared" si="375"/>
        <v>6.271549003888203E-5</v>
      </c>
      <c r="G513">
        <f t="shared" si="376"/>
        <v>4.5963318166280138E-3</v>
      </c>
      <c r="H513">
        <f t="shared" si="377"/>
        <v>-3.136996318183372</v>
      </c>
      <c r="J513">
        <f t="shared" si="378"/>
        <v>15</v>
      </c>
      <c r="M513">
        <f t="shared" si="379"/>
        <v>5.3362484228550102E-4</v>
      </c>
      <c r="N513">
        <f t="shared" si="380"/>
        <v>-1.5707963250000001</v>
      </c>
      <c r="O513">
        <f t="shared" si="381"/>
        <v>169.08347356814139</v>
      </c>
      <c r="P513">
        <f t="shared" si="382"/>
        <v>1.564882053751578</v>
      </c>
      <c r="Q513">
        <f t="shared" si="383"/>
        <v>177.90932982282339</v>
      </c>
      <c r="R513">
        <f t="shared" si="384"/>
        <v>1.5651754565082601</v>
      </c>
      <c r="S513">
        <f t="shared" si="385"/>
        <v>0.93725734636723856</v>
      </c>
      <c r="T513">
        <f t="shared" si="386"/>
        <v>-0.35611785805167634</v>
      </c>
      <c r="U513">
        <f t="shared" si="387"/>
        <v>0.11166965125712201</v>
      </c>
      <c r="V513">
        <f t="shared" si="388"/>
        <v>-1.4588932745851579</v>
      </c>
      <c r="X513">
        <f t="shared" si="405"/>
        <v>-53.277070116423644</v>
      </c>
      <c r="Y513">
        <f t="shared" si="389"/>
        <v>-151.18171012840247</v>
      </c>
      <c r="Z513">
        <f t="shared" si="406"/>
        <v>28.818289871597528</v>
      </c>
      <c r="AC513">
        <v>1</v>
      </c>
      <c r="AD513">
        <f t="shared" si="390"/>
        <v>169.08051642300001</v>
      </c>
      <c r="AE513">
        <f t="shared" si="391"/>
        <v>-1.5882345018815767</v>
      </c>
      <c r="AF513">
        <f t="shared" si="392"/>
        <v>0.17847387844649998</v>
      </c>
      <c r="AG513">
        <f t="shared" si="421"/>
        <v>11.192010991278302</v>
      </c>
      <c r="AH513">
        <f t="shared" si="422"/>
        <v>-105.20048180279926</v>
      </c>
      <c r="AJ513">
        <f t="shared" si="393"/>
        <v>10500</v>
      </c>
      <c r="AK513">
        <f t="shared" si="394"/>
        <v>3905.7599293713001</v>
      </c>
      <c r="AL513">
        <v>1</v>
      </c>
      <c r="AM513">
        <f t="shared" si="395"/>
        <v>177.90651938028063</v>
      </c>
      <c r="AN513">
        <f t="shared" si="423"/>
        <v>22.285042954570471</v>
      </c>
      <c r="AO513">
        <f t="shared" si="424"/>
        <v>-58.894496916377712</v>
      </c>
      <c r="AQ513">
        <f t="shared" si="396"/>
        <v>1.1185555957365582E-3</v>
      </c>
      <c r="AR513">
        <f t="shared" si="397"/>
        <v>-3.3444812312523093</v>
      </c>
      <c r="AT513">
        <f t="shared" si="418"/>
        <v>-351.82851802164038</v>
      </c>
      <c r="AU513">
        <f t="shared" si="419"/>
        <v>-37.549143287894537</v>
      </c>
      <c r="AV513">
        <f t="shared" si="407"/>
        <v>-3.0352694262753079</v>
      </c>
      <c r="AW513">
        <f t="shared" si="408"/>
        <v>-166.44271605824932</v>
      </c>
      <c r="AX513">
        <f t="shared" si="409"/>
        <v>-240.19453594378874</v>
      </c>
      <c r="AY513">
        <f t="shared" si="417"/>
        <v>-2.1767748134317997</v>
      </c>
      <c r="BA513">
        <f t="shared" si="398"/>
        <v>1.2107937631281156</v>
      </c>
      <c r="BB513">
        <f t="shared" si="410"/>
        <v>1.6614035042632227</v>
      </c>
      <c r="BC513">
        <f t="shared" si="411"/>
        <v>-0.85849461284350825</v>
      </c>
      <c r="BD513">
        <f t="shared" si="399"/>
        <v>-229.18811810685625</v>
      </c>
      <c r="BF513">
        <f t="shared" si="400"/>
        <v>-56.122265359508184</v>
      </c>
      <c r="BG513">
        <f t="shared" si="401"/>
        <v>-185.71643562311996</v>
      </c>
      <c r="BH513">
        <f t="shared" si="412"/>
        <v>-5.7164356231199633</v>
      </c>
      <c r="BI513">
        <f t="shared" si="413"/>
        <v>-5.7164356231199633</v>
      </c>
      <c r="BJ513">
        <f t="shared" si="402"/>
        <v>0</v>
      </c>
      <c r="BK513">
        <f t="shared" si="414"/>
        <v>0</v>
      </c>
      <c r="BM513">
        <f t="shared" si="415"/>
        <v>-57.78366886377141</v>
      </c>
      <c r="BN513">
        <f t="shared" si="403"/>
        <v>-136.52831751626374</v>
      </c>
      <c r="BQ513" s="56">
        <f t="shared" si="416"/>
        <v>18.563364304548358</v>
      </c>
    </row>
    <row r="514" spans="1:69" x14ac:dyDescent="0.2">
      <c r="A514">
        <f t="shared" si="420"/>
        <v>1500000</v>
      </c>
      <c r="B514">
        <f t="shared" si="404"/>
        <v>1500</v>
      </c>
      <c r="C514">
        <f t="shared" si="373"/>
        <v>1.374141329728519</v>
      </c>
      <c r="D514">
        <f t="shared" si="374"/>
        <v>0.75579401558897541</v>
      </c>
      <c r="F514">
        <f t="shared" si="375"/>
        <v>6.229806146706098E-5</v>
      </c>
      <c r="G514">
        <f t="shared" si="376"/>
        <v>4.5810089748996221E-3</v>
      </c>
      <c r="H514">
        <f t="shared" si="377"/>
        <v>-3.1370116410251008</v>
      </c>
      <c r="J514">
        <f t="shared" si="378"/>
        <v>15</v>
      </c>
      <c r="M514">
        <f t="shared" si="379"/>
        <v>5.3184609281121595E-4</v>
      </c>
      <c r="N514">
        <f t="shared" si="380"/>
        <v>-1.5707963250000001</v>
      </c>
      <c r="O514">
        <f t="shared" si="381"/>
        <v>169.64895038816243</v>
      </c>
      <c r="P514">
        <f t="shared" si="382"/>
        <v>1.5649017675376369</v>
      </c>
      <c r="Q514">
        <f t="shared" si="383"/>
        <v>178.50432553636824</v>
      </c>
      <c r="R514">
        <f t="shared" si="384"/>
        <v>1.5651941923498849</v>
      </c>
      <c r="S514">
        <f t="shared" si="385"/>
        <v>0.93687593086871168</v>
      </c>
      <c r="T514">
        <f t="shared" si="386"/>
        <v>-0.35721026908883591</v>
      </c>
      <c r="U514">
        <f t="shared" si="387"/>
        <v>0.11130203796717471</v>
      </c>
      <c r="V514">
        <f t="shared" si="388"/>
        <v>-1.4592631939464462</v>
      </c>
      <c r="X514">
        <f t="shared" si="405"/>
        <v>-53.324634267635048</v>
      </c>
      <c r="Y514">
        <f t="shared" si="389"/>
        <v>-151.16869516647847</v>
      </c>
      <c r="Z514">
        <f t="shared" si="406"/>
        <v>28.831304833521529</v>
      </c>
      <c r="AC514">
        <v>1</v>
      </c>
      <c r="AD514">
        <f t="shared" si="390"/>
        <v>169.6460031</v>
      </c>
      <c r="AE514">
        <f t="shared" si="391"/>
        <v>-1.5988759093225122</v>
      </c>
      <c r="AF514">
        <f t="shared" si="392"/>
        <v>0.17907078104999999</v>
      </c>
      <c r="AG514">
        <f t="shared" si="421"/>
        <v>11.118444721411162</v>
      </c>
      <c r="AH514">
        <f t="shared" si="422"/>
        <v>-104.85805279955447</v>
      </c>
      <c r="AJ514">
        <f t="shared" si="393"/>
        <v>10500</v>
      </c>
      <c r="AK514">
        <f t="shared" si="394"/>
        <v>3918.8226716100007</v>
      </c>
      <c r="AL514">
        <v>1</v>
      </c>
      <c r="AM514">
        <f t="shared" si="395"/>
        <v>178.50152446182003</v>
      </c>
      <c r="AN514">
        <f t="shared" si="423"/>
        <v>22.282839756531914</v>
      </c>
      <c r="AO514">
        <f t="shared" si="424"/>
        <v>-58.698194269397199</v>
      </c>
      <c r="AQ514">
        <f t="shared" si="396"/>
        <v>1.1111109876543346E-3</v>
      </c>
      <c r="AR514">
        <f t="shared" si="397"/>
        <v>-3.333332962963004</v>
      </c>
      <c r="AT514">
        <f t="shared" si="418"/>
        <v>-349.51445000277442</v>
      </c>
      <c r="AU514">
        <f t="shared" si="419"/>
        <v>-37.177987221371467</v>
      </c>
      <c r="AV514">
        <f t="shared" si="407"/>
        <v>-3.0356207466776146</v>
      </c>
      <c r="AW514">
        <f t="shared" si="408"/>
        <v>-165.18819655449005</v>
      </c>
      <c r="AX514">
        <f t="shared" si="409"/>
        <v>-239.39217545440292</v>
      </c>
      <c r="AY514">
        <f t="shared" si="417"/>
        <v>-2.1748007993662979</v>
      </c>
      <c r="BA514">
        <f t="shared" si="398"/>
        <v>1.2084647977979321</v>
      </c>
      <c r="BB514">
        <f t="shared" si="410"/>
        <v>1.6446800813065507</v>
      </c>
      <c r="BC514">
        <f t="shared" si="411"/>
        <v>-0.86081994731131672</v>
      </c>
      <c r="BD514">
        <f t="shared" si="399"/>
        <v>-229.3213499579702</v>
      </c>
      <c r="BF514">
        <f t="shared" si="400"/>
        <v>-56.183376039906953</v>
      </c>
      <c r="BG514">
        <f t="shared" si="401"/>
        <v>-185.75507015352213</v>
      </c>
      <c r="BH514">
        <f t="shared" si="412"/>
        <v>-5.7550701535221265</v>
      </c>
      <c r="BI514">
        <f t="shared" si="413"/>
        <v>-5.7550701535221265</v>
      </c>
      <c r="BJ514">
        <f t="shared" si="402"/>
        <v>0</v>
      </c>
      <c r="BK514">
        <f t="shared" si="414"/>
        <v>0</v>
      </c>
      <c r="BM514">
        <f t="shared" si="415"/>
        <v>-57.8280561212135</v>
      </c>
      <c r="BN514">
        <f t="shared" si="403"/>
        <v>-136.43372019555193</v>
      </c>
      <c r="BQ514" s="56">
        <f t="shared" si="416"/>
        <v>18.546640881591689</v>
      </c>
    </row>
    <row r="515" spans="1:69" x14ac:dyDescent="0.2">
      <c r="A515">
        <f t="shared" si="420"/>
        <v>1505000</v>
      </c>
      <c r="B515">
        <f t="shared" si="404"/>
        <v>1505</v>
      </c>
      <c r="C515">
        <f t="shared" si="373"/>
        <v>1.3762979424163799</v>
      </c>
      <c r="D515">
        <f t="shared" si="374"/>
        <v>0.75745515548662379</v>
      </c>
      <c r="F515">
        <f t="shared" si="375"/>
        <v>6.1884786690390381E-5</v>
      </c>
      <c r="G515">
        <f t="shared" si="376"/>
        <v>4.5657879632871445E-3</v>
      </c>
      <c r="H515">
        <f t="shared" si="377"/>
        <v>-3.1370268620367132</v>
      </c>
      <c r="J515">
        <f t="shared" si="378"/>
        <v>15</v>
      </c>
      <c r="M515">
        <f t="shared" si="379"/>
        <v>5.3007916227031495E-4</v>
      </c>
      <c r="N515">
        <f t="shared" si="380"/>
        <v>-1.5707963250000001</v>
      </c>
      <c r="O515">
        <f t="shared" si="381"/>
        <v>170.2144272736767</v>
      </c>
      <c r="P515">
        <f t="shared" si="382"/>
        <v>1.5649213503396202</v>
      </c>
      <c r="Q515">
        <f t="shared" si="383"/>
        <v>179.09932131215743</v>
      </c>
      <c r="R515">
        <f t="shared" si="384"/>
        <v>1.5652128037047617</v>
      </c>
      <c r="S515">
        <f t="shared" si="385"/>
        <v>0.93649370946520871</v>
      </c>
      <c r="T515">
        <f t="shared" si="386"/>
        <v>-0.35830179007619772</v>
      </c>
      <c r="U515">
        <f t="shared" si="387"/>
        <v>0.11093682204895758</v>
      </c>
      <c r="V515">
        <f t="shared" si="388"/>
        <v>-1.4596306857213506</v>
      </c>
      <c r="X515">
        <f t="shared" si="405"/>
        <v>-53.372015133044201</v>
      </c>
      <c r="Y515">
        <f t="shared" si="389"/>
        <v>-151.15579787041648</v>
      </c>
      <c r="Z515">
        <f t="shared" si="406"/>
        <v>28.844202129583522</v>
      </c>
      <c r="AC515">
        <v>1</v>
      </c>
      <c r="AD515">
        <f t="shared" si="390"/>
        <v>170.211489777</v>
      </c>
      <c r="AE515">
        <f t="shared" si="391"/>
        <v>-1.6095528473392104</v>
      </c>
      <c r="AF515">
        <f t="shared" si="392"/>
        <v>0.17966768365349997</v>
      </c>
      <c r="AG515">
        <f t="shared" si="421"/>
        <v>11.045598419856923</v>
      </c>
      <c r="AH515">
        <f t="shared" si="422"/>
        <v>-104.51781870501331</v>
      </c>
      <c r="AJ515">
        <f t="shared" si="393"/>
        <v>10500</v>
      </c>
      <c r="AK515">
        <f t="shared" si="394"/>
        <v>3931.8854138487004</v>
      </c>
      <c r="AL515">
        <v>1</v>
      </c>
      <c r="AM515">
        <f t="shared" si="395"/>
        <v>179.09652954335942</v>
      </c>
      <c r="AN515">
        <f t="shared" si="423"/>
        <v>22.280658479868343</v>
      </c>
      <c r="AO515">
        <f t="shared" si="424"/>
        <v>-58.5031958365417</v>
      </c>
      <c r="AQ515">
        <f t="shared" si="396"/>
        <v>1.1037404549905129E-3</v>
      </c>
      <c r="AR515">
        <f t="shared" si="397"/>
        <v>-3.3222587695214436</v>
      </c>
      <c r="AT515">
        <f t="shared" si="418"/>
        <v>-347.22304829015729</v>
      </c>
      <c r="AU515">
        <f t="shared" si="419"/>
        <v>-36.81169675975395</v>
      </c>
      <c r="AV515">
        <f t="shared" si="407"/>
        <v>-3.0359697630701254</v>
      </c>
      <c r="AW515">
        <f t="shared" si="408"/>
        <v>-163.94616805413222</v>
      </c>
      <c r="AX515">
        <f t="shared" si="409"/>
        <v>-238.59516422655889</v>
      </c>
      <c r="AY515">
        <f t="shared" si="417"/>
        <v>-2.1728331596736421</v>
      </c>
      <c r="BA515">
        <f t="shared" si="398"/>
        <v>1.2061409097771962</v>
      </c>
      <c r="BB515">
        <f t="shared" si="410"/>
        <v>1.627960961453333</v>
      </c>
      <c r="BC515">
        <f t="shared" si="411"/>
        <v>-0.86313660339648335</v>
      </c>
      <c r="BD515">
        <f t="shared" si="399"/>
        <v>-229.45408457438521</v>
      </c>
      <c r="BF515">
        <f t="shared" si="400"/>
        <v>-56.244286679063869</v>
      </c>
      <c r="BG515">
        <f t="shared" si="401"/>
        <v>-185.79350056423866</v>
      </c>
      <c r="BH515">
        <f t="shared" si="412"/>
        <v>-5.7935005642386557</v>
      </c>
      <c r="BI515">
        <f t="shared" si="413"/>
        <v>-5.7935005642386557</v>
      </c>
      <c r="BJ515">
        <f t="shared" si="402"/>
        <v>0</v>
      </c>
      <c r="BK515">
        <f t="shared" si="414"/>
        <v>0</v>
      </c>
      <c r="BM515">
        <f t="shared" si="415"/>
        <v>-57.872247640517202</v>
      </c>
      <c r="BN515">
        <f t="shared" si="403"/>
        <v>-136.33941598985345</v>
      </c>
      <c r="BQ515" s="56">
        <f t="shared" si="416"/>
        <v>18.529921761738468</v>
      </c>
    </row>
    <row r="516" spans="1:69" x14ac:dyDescent="0.2">
      <c r="A516">
        <f t="shared" si="420"/>
        <v>1510000</v>
      </c>
      <c r="B516">
        <f t="shared" si="404"/>
        <v>1510</v>
      </c>
      <c r="C516">
        <f t="shared" si="373"/>
        <v>1.3784583409518827</v>
      </c>
      <c r="D516">
        <f t="shared" si="374"/>
        <v>0.75911109307533498</v>
      </c>
      <c r="F516">
        <f t="shared" si="375"/>
        <v>6.1475610778096993E-5</v>
      </c>
      <c r="G516">
        <f t="shared" si="376"/>
        <v>4.5506677700062519E-3</v>
      </c>
      <c r="H516">
        <f t="shared" si="377"/>
        <v>-3.1370419822299938</v>
      </c>
      <c r="J516">
        <f t="shared" si="378"/>
        <v>15</v>
      </c>
      <c r="M516">
        <f t="shared" si="379"/>
        <v>5.2832393325617484E-4</v>
      </c>
      <c r="N516">
        <f t="shared" si="380"/>
        <v>-1.5707963250000001</v>
      </c>
      <c r="O516">
        <f t="shared" si="381"/>
        <v>170.77990422403354</v>
      </c>
      <c r="P516">
        <f t="shared" si="382"/>
        <v>1.5649408034586345</v>
      </c>
      <c r="Q516">
        <f t="shared" si="383"/>
        <v>179.69431714957267</v>
      </c>
      <c r="R516">
        <f t="shared" si="384"/>
        <v>1.5652312918094626</v>
      </c>
      <c r="S516">
        <f t="shared" si="385"/>
        <v>0.93611068587332691</v>
      </c>
      <c r="T516">
        <f t="shared" si="386"/>
        <v>-0.35939241950334672</v>
      </c>
      <c r="U516">
        <f t="shared" si="387"/>
        <v>0.11057398027462775</v>
      </c>
      <c r="V516">
        <f t="shared" si="388"/>
        <v>-1.4599957736298887</v>
      </c>
      <c r="X516">
        <f t="shared" si="405"/>
        <v>-53.419214081526256</v>
      </c>
      <c r="Y516">
        <f t="shared" si="389"/>
        <v>-151.14301854620251</v>
      </c>
      <c r="Z516">
        <f t="shared" si="406"/>
        <v>28.856981453797488</v>
      </c>
      <c r="AC516">
        <v>1</v>
      </c>
      <c r="AD516">
        <f t="shared" si="390"/>
        <v>170.77697645400002</v>
      </c>
      <c r="AE516">
        <f t="shared" si="391"/>
        <v>-1.6202653159316711</v>
      </c>
      <c r="AF516">
        <f t="shared" si="392"/>
        <v>0.18026458625699998</v>
      </c>
      <c r="AG516">
        <f t="shared" si="421"/>
        <v>10.973462761392511</v>
      </c>
      <c r="AH516">
        <f t="shared" si="422"/>
        <v>-104.17975875293591</v>
      </c>
      <c r="AJ516">
        <f t="shared" si="393"/>
        <v>10500</v>
      </c>
      <c r="AK516">
        <f t="shared" si="394"/>
        <v>3944.9481560874005</v>
      </c>
      <c r="AL516">
        <v>1</v>
      </c>
      <c r="AM516">
        <f t="shared" si="395"/>
        <v>179.69153462489882</v>
      </c>
      <c r="AN516">
        <f t="shared" si="423"/>
        <v>22.278498834726669</v>
      </c>
      <c r="AO516">
        <f t="shared" si="424"/>
        <v>-58.309488663654811</v>
      </c>
      <c r="AQ516">
        <f t="shared" si="396"/>
        <v>1.096443018240097E-3</v>
      </c>
      <c r="AR516">
        <f t="shared" si="397"/>
        <v>-3.3112579150850934</v>
      </c>
      <c r="AT516">
        <f t="shared" si="418"/>
        <v>-344.95401898568394</v>
      </c>
      <c r="AU516">
        <f t="shared" si="419"/>
        <v>-36.45019259367907</v>
      </c>
      <c r="AV516">
        <f t="shared" si="407"/>
        <v>-3.036316497945335</v>
      </c>
      <c r="AW516">
        <f t="shared" si="408"/>
        <v>-162.71646525379012</v>
      </c>
      <c r="AX516">
        <f t="shared" si="409"/>
        <v>-237.80344886926875</v>
      </c>
      <c r="AY516">
        <f t="shared" si="417"/>
        <v>-2.1708718665712774</v>
      </c>
      <c r="BA516">
        <f t="shared" si="398"/>
        <v>1.2038221142609877</v>
      </c>
      <c r="BB516">
        <f t="shared" si="410"/>
        <v>1.6112463413853892</v>
      </c>
      <c r="BC516">
        <f t="shared" si="411"/>
        <v>-0.86544463137405758</v>
      </c>
      <c r="BD516">
        <f t="shared" si="399"/>
        <v>-229.58632483664945</v>
      </c>
      <c r="BF516">
        <f t="shared" si="400"/>
        <v>-56.304998519632321</v>
      </c>
      <c r="BG516">
        <f t="shared" si="401"/>
        <v>-185.83172891468564</v>
      </c>
      <c r="BH516">
        <f t="shared" si="412"/>
        <v>-5.831728914685641</v>
      </c>
      <c r="BI516">
        <f t="shared" si="413"/>
        <v>-5.831728914685641</v>
      </c>
      <c r="BJ516">
        <f t="shared" si="402"/>
        <v>0</v>
      </c>
      <c r="BK516">
        <f t="shared" si="414"/>
        <v>0</v>
      </c>
      <c r="BM516">
        <f t="shared" si="415"/>
        <v>-57.916244861017709</v>
      </c>
      <c r="BN516">
        <f t="shared" si="403"/>
        <v>-136.24540407803622</v>
      </c>
      <c r="BQ516" s="56">
        <f t="shared" si="416"/>
        <v>18.513207141670527</v>
      </c>
    </row>
    <row r="517" spans="1:69" x14ac:dyDescent="0.2">
      <c r="A517">
        <f t="shared" si="420"/>
        <v>1515000</v>
      </c>
      <c r="B517">
        <f t="shared" si="404"/>
        <v>1515</v>
      </c>
      <c r="C517">
        <f t="shared" si="373"/>
        <v>1.3806225075627407</v>
      </c>
      <c r="D517">
        <f t="shared" si="374"/>
        <v>0.76076184371652311</v>
      </c>
      <c r="F517">
        <f t="shared" si="375"/>
        <v>6.1070479704452264E-5</v>
      </c>
      <c r="G517">
        <f t="shared" si="376"/>
        <v>4.5356473966332274E-3</v>
      </c>
      <c r="H517">
        <f t="shared" si="377"/>
        <v>-3.1370570026033668</v>
      </c>
      <c r="J517">
        <f t="shared" si="378"/>
        <v>15</v>
      </c>
      <c r="M517">
        <f t="shared" si="379"/>
        <v>5.2658028991209511E-4</v>
      </c>
      <c r="N517">
        <f t="shared" si="380"/>
        <v>-1.5707963250000001</v>
      </c>
      <c r="O517">
        <f t="shared" si="381"/>
        <v>171.34538123859099</v>
      </c>
      <c r="P517">
        <f t="shared" si="382"/>
        <v>1.564960128178611</v>
      </c>
      <c r="Q517">
        <f t="shared" si="383"/>
        <v>180.28931304800381</v>
      </c>
      <c r="R517">
        <f t="shared" si="384"/>
        <v>1.5652496578842359</v>
      </c>
      <c r="S517">
        <f t="shared" si="385"/>
        <v>0.93572686380883452</v>
      </c>
      <c r="T517">
        <f t="shared" si="386"/>
        <v>-0.36048215587081828</v>
      </c>
      <c r="U517">
        <f t="shared" si="387"/>
        <v>0.11021348971351695</v>
      </c>
      <c r="V517">
        <f t="shared" si="388"/>
        <v>-1.4603584810853341</v>
      </c>
      <c r="X517">
        <f t="shared" si="405"/>
        <v>-53.466232468585702</v>
      </c>
      <c r="Y517">
        <f t="shared" si="389"/>
        <v>-151.13035748298776</v>
      </c>
      <c r="Z517">
        <f t="shared" si="406"/>
        <v>28.869642517012238</v>
      </c>
      <c r="AC517">
        <v>1</v>
      </c>
      <c r="AD517">
        <f t="shared" si="390"/>
        <v>171.34246313100002</v>
      </c>
      <c r="AE517">
        <f t="shared" si="391"/>
        <v>-1.6310133150998947</v>
      </c>
      <c r="AF517">
        <f t="shared" si="392"/>
        <v>0.18086148886049999</v>
      </c>
      <c r="AG517">
        <f t="shared" si="421"/>
        <v>10.902028570652089</v>
      </c>
      <c r="AH517">
        <f t="shared" si="422"/>
        <v>-103.8438524346067</v>
      </c>
      <c r="AJ517">
        <f t="shared" si="393"/>
        <v>10500</v>
      </c>
      <c r="AK517">
        <f t="shared" si="394"/>
        <v>3958.0108983261002</v>
      </c>
      <c r="AL517">
        <v>1</v>
      </c>
      <c r="AM517">
        <f t="shared" si="395"/>
        <v>180.28653970643822</v>
      </c>
      <c r="AN517">
        <f t="shared" si="423"/>
        <v>22.276360536028669</v>
      </c>
      <c r="AO517">
        <f t="shared" si="424"/>
        <v>-58.117059967565631</v>
      </c>
      <c r="AQ517">
        <f t="shared" si="396"/>
        <v>1.0892177140348208E-3</v>
      </c>
      <c r="AR517">
        <f t="shared" si="397"/>
        <v>-3.300329673525507</v>
      </c>
      <c r="AT517">
        <f t="shared" si="418"/>
        <v>-342.70707292049843</v>
      </c>
      <c r="AU517">
        <f t="shared" si="419"/>
        <v>-36.093396956911349</v>
      </c>
      <c r="AV517">
        <f t="shared" si="407"/>
        <v>-3.0366609735051986</v>
      </c>
      <c r="AW517">
        <f t="shared" si="408"/>
        <v>-161.49892557593293</v>
      </c>
      <c r="AX517">
        <f t="shared" si="409"/>
        <v>-237.0169767008307</v>
      </c>
      <c r="AY517">
        <f t="shared" si="417"/>
        <v>-2.1689168923534989</v>
      </c>
      <c r="BA517">
        <f t="shared" si="398"/>
        <v>1.2015084258694158</v>
      </c>
      <c r="BB517">
        <f t="shared" si="410"/>
        <v>1.5945364149209176</v>
      </c>
      <c r="BC517">
        <f t="shared" si="411"/>
        <v>-0.86774408115169965</v>
      </c>
      <c r="BD517">
        <f t="shared" si="399"/>
        <v>-229.71807360426118</v>
      </c>
      <c r="BF517">
        <f t="shared" si="400"/>
        <v>-56.365512793018297</v>
      </c>
      <c r="BG517">
        <f t="shared" si="401"/>
        <v>-185.86975724142269</v>
      </c>
      <c r="BH517">
        <f t="shared" si="412"/>
        <v>-5.8697572414226897</v>
      </c>
      <c r="BI517">
        <f t="shared" si="413"/>
        <v>-5.8697572414226897</v>
      </c>
      <c r="BJ517">
        <f t="shared" si="402"/>
        <v>0</v>
      </c>
      <c r="BK517">
        <f t="shared" si="414"/>
        <v>0</v>
      </c>
      <c r="BM517">
        <f t="shared" si="415"/>
        <v>-57.960049207939207</v>
      </c>
      <c r="BN517">
        <f t="shared" si="403"/>
        <v>-136.15168363716151</v>
      </c>
      <c r="BQ517" s="56">
        <f t="shared" si="416"/>
        <v>18.496497215206055</v>
      </c>
    </row>
    <row r="518" spans="1:69" x14ac:dyDescent="0.2">
      <c r="A518">
        <f>A517+5000</f>
        <v>1520000</v>
      </c>
      <c r="B518">
        <f t="shared" si="404"/>
        <v>1520</v>
      </c>
      <c r="C518">
        <f t="shared" si="373"/>
        <v>1.3827904245570262</v>
      </c>
      <c r="D518">
        <f t="shared" si="374"/>
        <v>0.76240742278859508</v>
      </c>
      <c r="F518">
        <f t="shared" si="375"/>
        <v>6.0669340330936919E-5</v>
      </c>
      <c r="G518">
        <f t="shared" si="376"/>
        <v>4.5207258578851515E-3</v>
      </c>
      <c r="H518">
        <f t="shared" si="377"/>
        <v>-3.137071924142115</v>
      </c>
      <c r="J518">
        <f t="shared" si="378"/>
        <v>15</v>
      </c>
      <c r="M518">
        <f t="shared" si="379"/>
        <v>5.248481179058053E-4</v>
      </c>
      <c r="N518">
        <f t="shared" si="380"/>
        <v>-1.5707963250000001</v>
      </c>
      <c r="O518">
        <f t="shared" si="381"/>
        <v>171.91085831671555</v>
      </c>
      <c r="P518">
        <f t="shared" si="382"/>
        <v>1.564979325766588</v>
      </c>
      <c r="Q518">
        <f t="shared" si="383"/>
        <v>180.88430900684875</v>
      </c>
      <c r="R518">
        <f t="shared" si="384"/>
        <v>1.565267903133275</v>
      </c>
      <c r="S518">
        <f t="shared" si="385"/>
        <v>0.93534224698659418</v>
      </c>
      <c r="T518">
        <f t="shared" si="386"/>
        <v>-0.36157099769008655</v>
      </c>
      <c r="U518">
        <f t="shared" si="387"/>
        <v>0.10985532772742558</v>
      </c>
      <c r="V518">
        <f t="shared" si="388"/>
        <v>-1.4607188311991388</v>
      </c>
      <c r="X518">
        <f t="shared" si="405"/>
        <v>-53.513071636517367</v>
      </c>
      <c r="Y518">
        <f t="shared" si="389"/>
        <v>-151.11781495341816</v>
      </c>
      <c r="Z518">
        <f t="shared" si="406"/>
        <v>28.882185046581839</v>
      </c>
      <c r="AC518">
        <v>1</v>
      </c>
      <c r="AD518">
        <f t="shared" si="390"/>
        <v>171.90794980800001</v>
      </c>
      <c r="AE518">
        <f t="shared" si="391"/>
        <v>-1.6417968448438811</v>
      </c>
      <c r="AF518">
        <f t="shared" si="392"/>
        <v>0.18145839146399997</v>
      </c>
      <c r="AG518">
        <f t="shared" si="421"/>
        <v>10.831286819258782</v>
      </c>
      <c r="AH518">
        <f t="shared" si="422"/>
        <v>-103.5100794949158</v>
      </c>
      <c r="AJ518">
        <f t="shared" si="393"/>
        <v>10500</v>
      </c>
      <c r="AK518">
        <f t="shared" si="394"/>
        <v>3971.0736405648008</v>
      </c>
      <c r="AL518">
        <v>1</v>
      </c>
      <c r="AM518">
        <f t="shared" si="395"/>
        <v>180.88154478797762</v>
      </c>
      <c r="AN518">
        <f t="shared" si="423"/>
        <v>22.274243303376892</v>
      </c>
      <c r="AO518">
        <f t="shared" si="424"/>
        <v>-57.925897133276976</v>
      </c>
      <c r="AQ518">
        <f t="shared" si="396"/>
        <v>1.0820635948251822E-3</v>
      </c>
      <c r="AR518">
        <f t="shared" si="397"/>
        <v>-3.2894733282685542</v>
      </c>
      <c r="AT518">
        <f t="shared" si="418"/>
        <v>-340.48192556433105</v>
      </c>
      <c r="AU518">
        <f t="shared" si="419"/>
        <v>-35.741233591497419</v>
      </c>
      <c r="AV518">
        <f t="shared" si="407"/>
        <v>-3.0370032116657875</v>
      </c>
      <c r="AW518">
        <f t="shared" si="408"/>
        <v>-160.29338911511547</v>
      </c>
      <c r="AX518">
        <f t="shared" si="409"/>
        <v>-236.23569573706857</v>
      </c>
      <c r="AY518">
        <f t="shared" si="417"/>
        <v>-2.1669682093924356</v>
      </c>
      <c r="BA518">
        <f t="shared" si="398"/>
        <v>1.199199858657513</v>
      </c>
      <c r="BB518">
        <f t="shared" si="410"/>
        <v>1.5778313730508622</v>
      </c>
      <c r="BC518">
        <f t="shared" si="411"/>
        <v>-0.87003500227335184</v>
      </c>
      <c r="BD518">
        <f t="shared" si="399"/>
        <v>-229.8493337158792</v>
      </c>
      <c r="BF518">
        <f t="shared" si="400"/>
        <v>-56.425830719519269</v>
      </c>
      <c r="BG518">
        <f t="shared" si="401"/>
        <v>-185.90758755844325</v>
      </c>
      <c r="BH518">
        <f t="shared" si="412"/>
        <v>-5.9075875584432538</v>
      </c>
      <c r="BI518">
        <f t="shared" si="413"/>
        <v>-5.9075875584432538</v>
      </c>
      <c r="BJ518">
        <f t="shared" si="402"/>
        <v>0</v>
      </c>
      <c r="BK518">
        <f t="shared" si="414"/>
        <v>0</v>
      </c>
      <c r="BM518">
        <f t="shared" si="415"/>
        <v>-58.003662092570138</v>
      </c>
      <c r="BN518">
        <f t="shared" si="403"/>
        <v>-136.05825384256406</v>
      </c>
      <c r="BQ518" s="56">
        <f t="shared" si="416"/>
        <v>18.479792173335998</v>
      </c>
    </row>
    <row r="519" spans="1:69" x14ac:dyDescent="0.2">
      <c r="A519">
        <f t="shared" si="420"/>
        <v>1525000</v>
      </c>
      <c r="B519">
        <f t="shared" si="404"/>
        <v>1525</v>
      </c>
      <c r="C519">
        <f t="shared" si="373"/>
        <v>1.384962074323022</v>
      </c>
      <c r="D519">
        <f t="shared" si="374"/>
        <v>0.76404784568578643</v>
      </c>
      <c r="F519">
        <f t="shared" si="375"/>
        <v>6.0272140388814263E-5</v>
      </c>
      <c r="G519">
        <f t="shared" si="376"/>
        <v>4.5059021814044019E-3</v>
      </c>
      <c r="H519">
        <f t="shared" si="377"/>
        <v>-3.137086747818596</v>
      </c>
      <c r="J519">
        <f t="shared" si="378"/>
        <v>15</v>
      </c>
      <c r="M519">
        <f t="shared" si="379"/>
        <v>5.2312730440447479E-4</v>
      </c>
      <c r="N519">
        <f t="shared" si="380"/>
        <v>-1.5707963250000001</v>
      </c>
      <c r="O519">
        <f t="shared" si="381"/>
        <v>172.47633545778191</v>
      </c>
      <c r="P519">
        <f t="shared" si="382"/>
        <v>1.564998397472988</v>
      </c>
      <c r="Q519">
        <f t="shared" si="383"/>
        <v>181.47930502551327</v>
      </c>
      <c r="R519">
        <f t="shared" si="384"/>
        <v>1.5652860287449815</v>
      </c>
      <c r="S519">
        <f t="shared" si="385"/>
        <v>0.93495683912048555</v>
      </c>
      <c r="T519">
        <f t="shared" si="386"/>
        <v>-0.36265894348355299</v>
      </c>
      <c r="U519">
        <f t="shared" si="387"/>
        <v>0.10949947196600554</v>
      </c>
      <c r="V519">
        <f t="shared" si="388"/>
        <v>-1.4610768467857611</v>
      </c>
      <c r="X519">
        <f t="shared" si="405"/>
        <v>-53.559732914565146</v>
      </c>
      <c r="Y519">
        <f t="shared" si="389"/>
        <v>-151.10539121395885</v>
      </c>
      <c r="Z519">
        <f t="shared" si="406"/>
        <v>28.894608786041147</v>
      </c>
      <c r="AC519">
        <v>1</v>
      </c>
      <c r="AD519">
        <f t="shared" si="390"/>
        <v>172.47343648500001</v>
      </c>
      <c r="AE519">
        <f t="shared" si="391"/>
        <v>-1.65261590516363</v>
      </c>
      <c r="AF519">
        <f t="shared" si="392"/>
        <v>0.18205529406749998</v>
      </c>
      <c r="AG519">
        <f t="shared" si="421"/>
        <v>10.761228623020012</v>
      </c>
      <c r="AH519">
        <f t="shared" si="422"/>
        <v>-103.17841992851051</v>
      </c>
      <c r="AJ519">
        <f t="shared" si="393"/>
        <v>10500</v>
      </c>
      <c r="AK519">
        <f t="shared" si="394"/>
        <v>3984.1363828035005</v>
      </c>
      <c r="AL519">
        <v>1</v>
      </c>
      <c r="AM519">
        <f t="shared" si="395"/>
        <v>181.47654986951702</v>
      </c>
      <c r="AN519">
        <f t="shared" si="423"/>
        <v>22.272146860962732</v>
      </c>
      <c r="AO519">
        <f t="shared" si="424"/>
        <v>-57.735987711208985</v>
      </c>
      <c r="AQ519">
        <f t="shared" si="396"/>
        <v>1.0749797285697685E-3</v>
      </c>
      <c r="AR519">
        <f t="shared" si="397"/>
        <v>-3.2786881721377941</v>
      </c>
      <c r="AT519">
        <f t="shared" si="418"/>
        <v>-338.27829693684959</v>
      </c>
      <c r="AU519">
        <f t="shared" si="419"/>
        <v>-35.393627713815398</v>
      </c>
      <c r="AV519">
        <f t="shared" si="407"/>
        <v>-3.0373432340618556</v>
      </c>
      <c r="AW519">
        <f t="shared" si="408"/>
        <v>-159.09969858544301</v>
      </c>
      <c r="AX519">
        <f t="shared" si="409"/>
        <v>-235.45955467980542</v>
      </c>
      <c r="AY519">
        <f t="shared" si="417"/>
        <v>-2.1650257901390058</v>
      </c>
      <c r="BA519">
        <f t="shared" si="398"/>
        <v>1.1968964261249779</v>
      </c>
      <c r="BB519">
        <f t="shared" si="410"/>
        <v>1.5611314039747737</v>
      </c>
      <c r="BC519">
        <f t="shared" si="411"/>
        <v>-0.87231744392284982</v>
      </c>
      <c r="BD519">
        <f t="shared" si="399"/>
        <v>-229.98010798952976</v>
      </c>
      <c r="BF519">
        <f t="shared" si="400"/>
        <v>-56.485953508460945</v>
      </c>
      <c r="BG519">
        <f t="shared" si="401"/>
        <v>-185.94522185746092</v>
      </c>
      <c r="BH519">
        <f t="shared" si="412"/>
        <v>-5.9452218574609219</v>
      </c>
      <c r="BI519">
        <f t="shared" si="413"/>
        <v>-5.9452218574609219</v>
      </c>
      <c r="BJ519">
        <f t="shared" si="402"/>
        <v>0</v>
      </c>
      <c r="BK519">
        <f t="shared" si="414"/>
        <v>0</v>
      </c>
      <c r="BM519">
        <f t="shared" si="415"/>
        <v>-58.047084912435722</v>
      </c>
      <c r="BN519">
        <f t="shared" si="403"/>
        <v>-135.96511386793119</v>
      </c>
      <c r="BQ519" s="56">
        <f t="shared" si="416"/>
        <v>18.463092204259908</v>
      </c>
    </row>
    <row r="520" spans="1:69" x14ac:dyDescent="0.2">
      <c r="A520">
        <f t="shared" si="420"/>
        <v>1530000</v>
      </c>
      <c r="B520">
        <f t="shared" si="404"/>
        <v>1530</v>
      </c>
      <c r="C520">
        <f t="shared" si="373"/>
        <v>1.387137439329071</v>
      </c>
      <c r="D520">
        <f t="shared" si="374"/>
        <v>0.76568312781701564</v>
      </c>
      <c r="F520">
        <f t="shared" si="375"/>
        <v>5.987882846210145E-5</v>
      </c>
      <c r="G520">
        <f t="shared" si="376"/>
        <v>4.49117540754739E-3</v>
      </c>
      <c r="H520">
        <f t="shared" si="377"/>
        <v>-3.1371014745924528</v>
      </c>
      <c r="J520">
        <f t="shared" si="378"/>
        <v>15</v>
      </c>
      <c r="M520">
        <f t="shared" si="379"/>
        <v>5.2141773805021181E-4</v>
      </c>
      <c r="N520">
        <f t="shared" si="380"/>
        <v>-1.5707963250000001</v>
      </c>
      <c r="O520">
        <f t="shared" si="381"/>
        <v>173.04181266117311</v>
      </c>
      <c r="P520">
        <f t="shared" si="382"/>
        <v>1.5650173445318885</v>
      </c>
      <c r="Q520">
        <f t="shared" si="383"/>
        <v>182.07430110341096</v>
      </c>
      <c r="R520">
        <f t="shared" si="384"/>
        <v>1.565304035892223</v>
      </c>
      <c r="S520">
        <f t="shared" si="385"/>
        <v>0.93457064392332845</v>
      </c>
      <c r="T520">
        <f t="shared" si="386"/>
        <v>-0.36374599178453426</v>
      </c>
      <c r="U520">
        <f t="shared" si="387"/>
        <v>0.10914590036222942</v>
      </c>
      <c r="V520">
        <f t="shared" si="388"/>
        <v>-1.4614325503674008</v>
      </c>
      <c r="X520">
        <f t="shared" si="405"/>
        <v>-53.606217619078265</v>
      </c>
      <c r="Y520">
        <f t="shared" si="389"/>
        <v>-151.09308650521157</v>
      </c>
      <c r="Z520">
        <f t="shared" si="406"/>
        <v>28.906913494788427</v>
      </c>
      <c r="AC520">
        <v>1</v>
      </c>
      <c r="AD520">
        <f t="shared" si="390"/>
        <v>173.038923162</v>
      </c>
      <c r="AE520">
        <f t="shared" si="391"/>
        <v>-1.6634704960591418</v>
      </c>
      <c r="AF520">
        <f t="shared" si="392"/>
        <v>0.18265219667099999</v>
      </c>
      <c r="AG520">
        <f t="shared" si="421"/>
        <v>10.691845239184685</v>
      </c>
      <c r="AH520">
        <f t="shared" si="422"/>
        <v>-102.84885397601538</v>
      </c>
      <c r="AJ520">
        <f t="shared" si="393"/>
        <v>10500</v>
      </c>
      <c r="AK520">
        <f t="shared" si="394"/>
        <v>3997.1991250422006</v>
      </c>
      <c r="AL520">
        <v>1</v>
      </c>
      <c r="AM520">
        <f t="shared" si="395"/>
        <v>182.07155495105641</v>
      </c>
      <c r="AN520">
        <f t="shared" si="423"/>
        <v>22.270070937476611</v>
      </c>
      <c r="AO520">
        <f t="shared" si="424"/>
        <v>-57.547319414496663</v>
      </c>
      <c r="AQ520">
        <f t="shared" si="396"/>
        <v>1.0679651984316718E-3</v>
      </c>
      <c r="AR520">
        <f t="shared" si="397"/>
        <v>-3.2679735072009155</v>
      </c>
      <c r="AT520">
        <f t="shared" si="418"/>
        <v>-336.09591152097136</v>
      </c>
      <c r="AU520">
        <f t="shared" si="419"/>
        <v>-35.050505981492748</v>
      </c>
      <c r="AV520">
        <f t="shared" si="407"/>
        <v>-3.0376810620513184</v>
      </c>
      <c r="AW520">
        <f t="shared" si="408"/>
        <v>-157.91769926923666</v>
      </c>
      <c r="AX520">
        <f t="shared" si="409"/>
        <v>-234.68850290556523</v>
      </c>
      <c r="AY520">
        <f t="shared" si="417"/>
        <v>-2.1630896071238399</v>
      </c>
      <c r="BA520">
        <f t="shared" si="398"/>
        <v>1.1945981412257669</v>
      </c>
      <c r="BB520">
        <f t="shared" si="410"/>
        <v>1.5444366931361722</v>
      </c>
      <c r="BC520">
        <f t="shared" si="411"/>
        <v>-0.87459145492747847</v>
      </c>
      <c r="BD520">
        <f t="shared" si="399"/>
        <v>-230.11039922281014</v>
      </c>
      <c r="BF520">
        <f t="shared" si="400"/>
        <v>-56.545882358331681</v>
      </c>
      <c r="BG520">
        <f t="shared" si="401"/>
        <v>-185.98266210819048</v>
      </c>
      <c r="BH520">
        <f t="shared" si="412"/>
        <v>-5.9826621081904818</v>
      </c>
      <c r="BI520">
        <f t="shared" si="413"/>
        <v>-5.9826621081904818</v>
      </c>
      <c r="BJ520">
        <f t="shared" si="402"/>
        <v>0</v>
      </c>
      <c r="BK520">
        <f t="shared" si="414"/>
        <v>0</v>
      </c>
      <c r="BM520">
        <f t="shared" si="415"/>
        <v>-58.090319051467858</v>
      </c>
      <c r="BN520">
        <f t="shared" si="403"/>
        <v>-135.87226288538034</v>
      </c>
      <c r="BQ520" s="56">
        <f t="shared" si="416"/>
        <v>18.446397493421308</v>
      </c>
    </row>
    <row r="521" spans="1:69" x14ac:dyDescent="0.2">
      <c r="A521">
        <f t="shared" si="420"/>
        <v>1535000</v>
      </c>
      <c r="B521">
        <f t="shared" si="404"/>
        <v>1535</v>
      </c>
      <c r="C521">
        <f t="shared" ref="C521:C584" si="425">SQRT((A521/Fesr)^2+1)</f>
        <v>1.3893165021234195</v>
      </c>
      <c r="D521">
        <f t="shared" ref="D521:D584" si="426">ATAN(A521/Fesr)</f>
        <v>0.76731328460475379</v>
      </c>
      <c r="F521">
        <f t="shared" ref="F521:F584" si="427">(Ro/(Ro+Rdcr))/SQRT((A521/(Q*Fo))^2+(1-(A521^2/Fo^2))^2)</f>
        <v>5.9489353970928556E-5</v>
      </c>
      <c r="G521">
        <f t="shared" ref="G521:G584" si="428">-ATAN(A521*Fo/(Q*(Fo^2-A521^2)))</f>
        <v>4.4765445891774272E-3</v>
      </c>
      <c r="H521">
        <f t="shared" ref="H521:H584" si="429">IF(G521&gt;0,G521-Pi,G521)</f>
        <v>-3.137116105410823</v>
      </c>
      <c r="J521">
        <f t="shared" ref="J521:J584" si="430">Vin/Vramp</f>
        <v>15</v>
      </c>
      <c r="M521">
        <f t="shared" ref="M521:M584" si="431">1/(2*Pi*_Rfb1*(Cc1ea_u+Cc2ea_u)*A521)</f>
        <v>5.1971930893604165E-4</v>
      </c>
      <c r="N521">
        <f t="shared" ref="N521:N584" si="432">-Pi/2</f>
        <v>-1.5707963250000001</v>
      </c>
      <c r="O521">
        <f t="shared" ref="O521:O584" si="433">SQRT(1+(A521/Fz1_u)^2)</f>
        <v>173.60728992628012</v>
      </c>
      <c r="P521">
        <f t="shared" ref="P521:P584" si="434">ATAN2(Fz1_u,A521)</f>
        <v>1.5650361681612897</v>
      </c>
      <c r="Q521">
        <f t="shared" ref="Q521:Q584" si="435">SQRT(1+(A521/Fz2_u)^2)</f>
        <v>182.66929723996293</v>
      </c>
      <c r="R521">
        <f t="shared" ref="R521:R584" si="436">ATAN2(Fz2_u,A521)</f>
        <v>1.5653219257325861</v>
      </c>
      <c r="S521">
        <f t="shared" ref="S521:S584" si="437">1/SQRT(1+(A521/Fp1_u)^2)</f>
        <v>0.93418366510680706</v>
      </c>
      <c r="T521">
        <f t="shared" ref="T521:T584" si="438">-ATAN2(Fp1_u,A521)</f>
        <v>-0.36483214113725032</v>
      </c>
      <c r="U521">
        <f t="shared" ref="U521:U584" si="439">1/SQRT(1+(A521/Fp2_u)^2)</f>
        <v>0.10879459112794444</v>
      </c>
      <c r="V521">
        <f t="shared" ref="V521:V584" si="440">-ATAN2(Fp2_u,A521)</f>
        <v>-1.4617859641786455</v>
      </c>
      <c r="X521">
        <f t="shared" si="405"/>
        <v>-53.652527053665366</v>
      </c>
      <c r="Y521">
        <f t="shared" ref="Y521:Y584" si="441">(180/Pi)*(D521+H521+N521+P521+R521+T521+V521)</f>
        <v>-151.08090105222777</v>
      </c>
      <c r="Z521">
        <f t="shared" si="406"/>
        <v>28.919098947772227</v>
      </c>
      <c r="AC521">
        <v>1</v>
      </c>
      <c r="AD521">
        <f t="shared" ref="AD521:AD584" si="442">Rcea1_u*Cc1ea_u*A521*2*Pi</f>
        <v>173.604409839</v>
      </c>
      <c r="AE521">
        <f t="shared" ref="AE521:AE584" si="443">-Rcea1_u*Cc1ea_u*Cc2ea_u*(A521*2*Pi)^2</f>
        <v>-1.6743606175304164</v>
      </c>
      <c r="AF521">
        <f t="shared" ref="AF521:AF584" si="444">(Cc2ea_u+Cc1ea_u)*A521*2*Pi</f>
        <v>0.18324909927449998</v>
      </c>
      <c r="AG521">
        <f t="shared" si="421"/>
        <v>10.62312806376093</v>
      </c>
      <c r="AH521">
        <f t="shared" si="422"/>
        <v>-102.52136212031982</v>
      </c>
      <c r="AJ521">
        <f t="shared" ref="AJ521:AJ584" si="445">_Rfb1</f>
        <v>10500</v>
      </c>
      <c r="AK521">
        <f t="shared" ref="AK521:AK584" si="446">_Rfb1*Rcea2_u*Cc3ea_u*A521*2*Pi</f>
        <v>4010.2618672809003</v>
      </c>
      <c r="AL521">
        <v>1</v>
      </c>
      <c r="AM521">
        <f t="shared" ref="AM521:AM584" si="447">(_Rfb1+Rcea2_u)*Cc3ea_u*A521*2*Pi</f>
        <v>182.66656003259581</v>
      </c>
      <c r="AN521">
        <f t="shared" si="423"/>
        <v>22.268015266020214</v>
      </c>
      <c r="AO521">
        <f t="shared" si="424"/>
        <v>-57.359880116340335</v>
      </c>
      <c r="AQ521">
        <f t="shared" ref="AQ521:AQ584" si="448">Eadcg/(1+(Eadcg*A521/GBP)^2)</f>
        <v>1.0610191024818191E-3</v>
      </c>
      <c r="AR521">
        <f t="shared" ref="AR521:AR584" si="449">-(A521*Eadcg*Eadcg/GBP)/(1+(Eadcg*A521/GBP)^2)</f>
        <v>-3.2573286446191849</v>
      </c>
      <c r="AT521">
        <f t="shared" si="418"/>
        <v>-333.93449817809022</v>
      </c>
      <c r="AU521">
        <f t="shared" si="419"/>
        <v>-34.711796461168532</v>
      </c>
      <c r="AV521">
        <f t="shared" si="407"/>
        <v>-3.0380167167196466</v>
      </c>
      <c r="AW521">
        <f t="shared" si="408"/>
        <v>-156.74723896686942</v>
      </c>
      <c r="AX521">
        <f t="shared" si="409"/>
        <v>-233.92249045449776</v>
      </c>
      <c r="AY521">
        <f t="shared" si="417"/>
        <v>-2.1611596329581779</v>
      </c>
      <c r="BA521">
        <f t="shared" ref="BA521:BA584" si="450">SQRT(AT521^2+AU521^2)/SQRT(AW521^2+AX521^2)</f>
        <v>1.1923050163775457</v>
      </c>
      <c r="BB521">
        <f t="shared" si="410"/>
        <v>1.5277474232574688</v>
      </c>
      <c r="BC521">
        <f t="shared" si="411"/>
        <v>-0.87685708376146865</v>
      </c>
      <c r="BD521">
        <f t="shared" ref="BD521:BD584" si="451">BC521*180/Pi-180</f>
        <v>-230.24021019308927</v>
      </c>
      <c r="BF521">
        <f t="shared" ref="BF521:BF584" si="452">20*LOG(BA521*J521*F521*C521)</f>
        <v>-56.605618456914904</v>
      </c>
      <c r="BG521">
        <f t="shared" ref="BG521:BG584" si="453">(180/Pi)*(D521+H521+BC521)</f>
        <v>-186.01991025862526</v>
      </c>
      <c r="BH521">
        <f t="shared" si="412"/>
        <v>-6.0199102586252593</v>
      </c>
      <c r="BI521">
        <f t="shared" si="413"/>
        <v>-6.0199102586252593</v>
      </c>
      <c r="BJ521">
        <f t="shared" ref="BJ521:BJ584" si="454">SUM((BF522&lt;0)*(BF521&gt;0))*A521</f>
        <v>0</v>
      </c>
      <c r="BK521">
        <f t="shared" si="414"/>
        <v>0</v>
      </c>
      <c r="BM521">
        <f t="shared" si="415"/>
        <v>-58.13336588017237</v>
      </c>
      <c r="BN521">
        <f t="shared" ref="BN521:BN584" si="455">(H521+D521)*180/Pi</f>
        <v>-135.77970006553602</v>
      </c>
      <c r="BQ521" s="56">
        <f t="shared" si="416"/>
        <v>18.429708223542605</v>
      </c>
    </row>
    <row r="522" spans="1:69" x14ac:dyDescent="0.2">
      <c r="A522">
        <f t="shared" si="420"/>
        <v>1540000</v>
      </c>
      <c r="B522">
        <f t="shared" ref="B522:B585" si="456">A522/1000</f>
        <v>1540</v>
      </c>
      <c r="C522">
        <f t="shared" si="425"/>
        <v>1.3914992453340576</v>
      </c>
      <c r="D522">
        <f t="shared" si="426"/>
        <v>0.76893833148391055</v>
      </c>
      <c r="F522">
        <f t="shared" si="427"/>
        <v>5.9103667155275171E-5</v>
      </c>
      <c r="G522">
        <f t="shared" si="428"/>
        <v>4.4620087914616175E-3</v>
      </c>
      <c r="H522">
        <f t="shared" si="429"/>
        <v>-3.1371306412085387</v>
      </c>
      <c r="J522">
        <f t="shared" si="430"/>
        <v>15</v>
      </c>
      <c r="M522">
        <f t="shared" si="431"/>
        <v>5.1803190858235319E-4</v>
      </c>
      <c r="N522">
        <f t="shared" si="432"/>
        <v>-1.5707963250000001</v>
      </c>
      <c r="O522">
        <f t="shared" si="433"/>
        <v>174.17276725250176</v>
      </c>
      <c r="P522">
        <f t="shared" si="434"/>
        <v>1.5650548695633733</v>
      </c>
      <c r="Q522">
        <f t="shared" si="435"/>
        <v>183.26429343459793</v>
      </c>
      <c r="R522">
        <f t="shared" si="436"/>
        <v>1.5653396994086248</v>
      </c>
      <c r="S522">
        <f t="shared" si="437"/>
        <v>0.93379590638139331</v>
      </c>
      <c r="T522">
        <f t="shared" si="438"/>
        <v>-0.3659173900968119</v>
      </c>
      <c r="U522">
        <f t="shared" si="439"/>
        <v>0.10844552274950946</v>
      </c>
      <c r="V522">
        <f t="shared" si="440"/>
        <v>-1.4621371101710274</v>
      </c>
      <c r="X522">
        <f t="shared" ref="X522:X585" si="457">20*LOG(C522*J522*O522*Q522*F522*M522*S522*U522)</f>
        <v>-53.698662509346178</v>
      </c>
      <c r="Y522">
        <f t="shared" si="441"/>
        <v>-151.06883506481481</v>
      </c>
      <c r="Z522">
        <f t="shared" ref="Z522:Z585" si="458">Y522+180</f>
        <v>28.931164935185194</v>
      </c>
      <c r="AC522">
        <v>1</v>
      </c>
      <c r="AD522">
        <f t="shared" si="442"/>
        <v>174.16989651600002</v>
      </c>
      <c r="AE522">
        <f t="shared" si="443"/>
        <v>-1.6852862695774526</v>
      </c>
      <c r="AF522">
        <f t="shared" si="444"/>
        <v>0.18384600187799999</v>
      </c>
      <c r="AG522">
        <f t="shared" si="421"/>
        <v>10.55506862889268</v>
      </c>
      <c r="AH522">
        <f t="shared" si="422"/>
        <v>-102.19592508293135</v>
      </c>
      <c r="AJ522">
        <f t="shared" si="445"/>
        <v>10500</v>
      </c>
      <c r="AK522">
        <f t="shared" si="446"/>
        <v>4023.3246095196</v>
      </c>
      <c r="AL522">
        <v>1</v>
      </c>
      <c r="AM522">
        <f t="shared" si="447"/>
        <v>183.26156511413524</v>
      </c>
      <c r="AN522">
        <f t="shared" si="423"/>
        <v>22.265979584020656</v>
      </c>
      <c r="AO522">
        <f t="shared" si="424"/>
        <v>-57.173657847407604</v>
      </c>
      <c r="AQ522">
        <f t="shared" si="448"/>
        <v>1.0541405534090326E-3</v>
      </c>
      <c r="AR522">
        <f t="shared" si="449"/>
        <v>-3.2467529044998202</v>
      </c>
      <c r="AT522">
        <f t="shared" si="418"/>
        <v>-331.79379006516768</v>
      </c>
      <c r="AU522">
        <f t="shared" si="419"/>
        <v>-34.377428597075316</v>
      </c>
      <c r="AV522">
        <f t="shared" ref="AV522:AV585" si="459">ATAN2(AT522,AU522)</f>
        <v>-3.0383502188841804</v>
      </c>
      <c r="AW522">
        <f t="shared" ref="AW522:AW585" si="460">AG522-AH522*AO522/_Rfb2+AG522*AN522/_Rfb2+AN522-AO522*AR522+AQ522*AN522</f>
        <v>-155.58816794774134</v>
      </c>
      <c r="AX522">
        <f t="shared" ref="AX522:AX585" si="461">AH522+AH522*AN522/_Rfb2+AG522*AO522/_Rfb2+AO522+AO522*AQ522+AN522*AR522</f>
        <v>-233.16146801952084</v>
      </c>
      <c r="AY522">
        <f t="shared" si="417"/>
        <v>-2.1592358403347385</v>
      </c>
      <c r="BA522">
        <f t="shared" si="450"/>
        <v>1.1900170634709948</v>
      </c>
      <c r="BB522">
        <f t="shared" ref="BB522:BB585" si="462">20*LOG(BA522)</f>
        <v>1.5110637743744029</v>
      </c>
      <c r="BC522">
        <f t="shared" ref="BC522:BC585" si="463">AV522-AY522</f>
        <v>-0.87911437854944197</v>
      </c>
      <c r="BD522">
        <f t="shared" si="451"/>
        <v>-230.36954365770481</v>
      </c>
      <c r="BF522">
        <f t="shared" si="452"/>
        <v>-56.665162981419293</v>
      </c>
      <c r="BG522">
        <f t="shared" si="453"/>
        <v>-186.05696823530974</v>
      </c>
      <c r="BH522">
        <f t="shared" ref="BH522:BH585" si="464">IF(BG522&gt;180,BG522-180,BG522+180)</f>
        <v>-6.0569682353097392</v>
      </c>
      <c r="BI522">
        <f t="shared" ref="BI522:BI585" si="465">IF(BH522&gt;180,BH522-360,BH522)</f>
        <v>-6.0569682353097392</v>
      </c>
      <c r="BJ522">
        <f t="shared" si="454"/>
        <v>0</v>
      </c>
      <c r="BK522">
        <f t="shared" ref="BK522:BK585" si="466">IF(BJ522&gt;0,BI522,0)</f>
        <v>0</v>
      </c>
      <c r="BM522">
        <f t="shared" ref="BM522:BM585" si="467">20*LOG(J522*F522*C522)</f>
        <v>-58.176226755793692</v>
      </c>
      <c r="BN522">
        <f t="shared" si="455"/>
        <v>-135.68742457760496</v>
      </c>
      <c r="BQ522" s="56">
        <f t="shared" ref="BQ522:BQ585" si="468">20*LOG(BA522*7)</f>
        <v>18.413024574659541</v>
      </c>
    </row>
    <row r="523" spans="1:69" x14ac:dyDescent="0.2">
      <c r="A523">
        <f t="shared" si="420"/>
        <v>1545000</v>
      </c>
      <c r="B523">
        <f t="shared" si="456"/>
        <v>1545</v>
      </c>
      <c r="C523">
        <f t="shared" si="425"/>
        <v>1.3936856516685558</v>
      </c>
      <c r="D523">
        <f t="shared" si="426"/>
        <v>0.77055828390073644</v>
      </c>
      <c r="F523">
        <f t="shared" si="427"/>
        <v>5.8721719059075055E-5</v>
      </c>
      <c r="G523">
        <f t="shared" si="428"/>
        <v>4.4475670916717114E-3</v>
      </c>
      <c r="H523">
        <f t="shared" si="429"/>
        <v>-3.1371450829083285</v>
      </c>
      <c r="J523">
        <f t="shared" si="430"/>
        <v>15</v>
      </c>
      <c r="M523">
        <f t="shared" si="431"/>
        <v>5.1635542991380196E-4</v>
      </c>
      <c r="N523">
        <f t="shared" si="432"/>
        <v>-1.5707963250000001</v>
      </c>
      <c r="O523">
        <f t="shared" si="433"/>
        <v>174.73824463924473</v>
      </c>
      <c r="P523">
        <f t="shared" si="434"/>
        <v>1.5650734499247605</v>
      </c>
      <c r="Q523">
        <f t="shared" si="435"/>
        <v>183.85928968675208</v>
      </c>
      <c r="R523">
        <f t="shared" si="436"/>
        <v>1.5653573580481033</v>
      </c>
      <c r="S523">
        <f t="shared" si="437"/>
        <v>0.93340737145627162</v>
      </c>
      <c r="T523">
        <f t="shared" si="438"/>
        <v>-0.36700173722920776</v>
      </c>
      <c r="U523">
        <f t="shared" si="439"/>
        <v>0.10809867398351294</v>
      </c>
      <c r="V523">
        <f t="shared" si="440"/>
        <v>-1.4624860100174959</v>
      </c>
      <c r="X523">
        <f t="shared" si="457"/>
        <v>-53.744625264701071</v>
      </c>
      <c r="Y523">
        <f t="shared" si="441"/>
        <v>-151.0568887378374</v>
      </c>
      <c r="Z523">
        <f t="shared" si="458"/>
        <v>28.943111262162603</v>
      </c>
      <c r="AC523">
        <v>1</v>
      </c>
      <c r="AD523">
        <f t="shared" si="442"/>
        <v>174.73538319300002</v>
      </c>
      <c r="AE523">
        <f t="shared" si="443"/>
        <v>-1.6962474522002529</v>
      </c>
      <c r="AF523">
        <f t="shared" si="444"/>
        <v>0.1844429044815</v>
      </c>
      <c r="AG523">
        <f t="shared" si="421"/>
        <v>10.487658600293612</v>
      </c>
      <c r="AH523">
        <f t="shared" si="422"/>
        <v>-101.87252382039317</v>
      </c>
      <c r="AJ523">
        <f t="shared" si="445"/>
        <v>10500</v>
      </c>
      <c r="AK523">
        <f t="shared" si="446"/>
        <v>4036.3873517583006</v>
      </c>
      <c r="AL523">
        <v>1</v>
      </c>
      <c r="AM523">
        <f t="shared" si="447"/>
        <v>183.85657019567461</v>
      </c>
      <c r="AN523">
        <f t="shared" si="423"/>
        <v>22.263963633146723</v>
      </c>
      <c r="AO523">
        <f t="shared" si="424"/>
        <v>-56.988640793285896</v>
      </c>
      <c r="AQ523">
        <f t="shared" si="448"/>
        <v>1.0473286782366462E-3</v>
      </c>
      <c r="AR523">
        <f t="shared" si="449"/>
        <v>-3.2362456157512369</v>
      </c>
      <c r="AT523">
        <f t="shared" si="418"/>
        <v>-329.67352455364124</v>
      </c>
      <c r="AU523">
        <f t="shared" si="419"/>
        <v>-34.047333180417397</v>
      </c>
      <c r="AV523">
        <f t="shared" si="459"/>
        <v>-3.0386815890983576</v>
      </c>
      <c r="AW523">
        <f t="shared" si="460"/>
        <v>-154.44033890236506</v>
      </c>
      <c r="AX523">
        <f t="shared" si="461"/>
        <v>-232.40538693567609</v>
      </c>
      <c r="AY523">
        <f t="shared" ref="AY523:AY586" si="469">ATAN2(AW523,AX523)</f>
        <v>-2.1573182020285571</v>
      </c>
      <c r="BA523">
        <f t="shared" si="450"/>
        <v>1.1877342938789679</v>
      </c>
      <c r="BB523">
        <f t="shared" si="462"/>
        <v>1.4943859238699762</v>
      </c>
      <c r="BC523">
        <f t="shared" si="463"/>
        <v>-0.88136338706980055</v>
      </c>
      <c r="BD523">
        <f t="shared" si="451"/>
        <v>-230.49840235415755</v>
      </c>
      <c r="BF523">
        <f t="shared" si="452"/>
        <v>-56.724517098606988</v>
      </c>
      <c r="BG523">
        <f t="shared" si="453"/>
        <v>-186.09383794360818</v>
      </c>
      <c r="BH523">
        <f t="shared" si="464"/>
        <v>-6.0938379436081789</v>
      </c>
      <c r="BI523">
        <f t="shared" si="465"/>
        <v>-6.0938379436081789</v>
      </c>
      <c r="BJ523">
        <f t="shared" si="454"/>
        <v>0</v>
      </c>
      <c r="BK523">
        <f t="shared" si="466"/>
        <v>0</v>
      </c>
      <c r="BM523">
        <f t="shared" si="467"/>
        <v>-58.218903022476965</v>
      </c>
      <c r="BN523">
        <f t="shared" si="455"/>
        <v>-135.59543558945063</v>
      </c>
      <c r="BQ523" s="56">
        <f t="shared" si="468"/>
        <v>18.396346724155112</v>
      </c>
    </row>
    <row r="524" spans="1:69" x14ac:dyDescent="0.2">
      <c r="A524">
        <f t="shared" si="420"/>
        <v>1550000</v>
      </c>
      <c r="B524">
        <f t="shared" si="456"/>
        <v>1550</v>
      </c>
      <c r="C524">
        <f t="shared" si="425"/>
        <v>1.3958757039138978</v>
      </c>
      <c r="D524">
        <f t="shared" si="426"/>
        <v>0.77217315731174108</v>
      </c>
      <c r="F524">
        <f t="shared" si="427"/>
        <v>5.8343461514678985E-5</v>
      </c>
      <c r="G524">
        <f t="shared" si="428"/>
        <v>4.4332185789887997E-3</v>
      </c>
      <c r="H524">
        <f t="shared" si="429"/>
        <v>-3.1371594314210114</v>
      </c>
      <c r="J524">
        <f t="shared" si="430"/>
        <v>15</v>
      </c>
      <c r="M524">
        <f t="shared" si="431"/>
        <v>5.1468976723666063E-4</v>
      </c>
      <c r="N524">
        <f t="shared" si="432"/>
        <v>-1.5707963250000001</v>
      </c>
      <c r="O524">
        <f t="shared" si="433"/>
        <v>175.3037220859234</v>
      </c>
      <c r="P524">
        <f t="shared" si="434"/>
        <v>1.5650919104167618</v>
      </c>
      <c r="Q524">
        <f t="shared" si="435"/>
        <v>184.45428599586876</v>
      </c>
      <c r="R524">
        <f t="shared" si="436"/>
        <v>1.565374902764235</v>
      </c>
      <c r="S524">
        <f t="shared" si="437"/>
        <v>0.93301806403926379</v>
      </c>
      <c r="T524">
        <f t="shared" si="438"/>
        <v>-0.36808518111129224</v>
      </c>
      <c r="U524">
        <f t="shared" si="439"/>
        <v>0.10775402385257021</v>
      </c>
      <c r="V524">
        <f t="shared" si="440"/>
        <v>-1.4628326851168054</v>
      </c>
      <c r="X524">
        <f t="shared" si="457"/>
        <v>-53.790416586018324</v>
      </c>
      <c r="Y524">
        <f t="shared" si="441"/>
        <v>-151.04506225151334</v>
      </c>
      <c r="Z524">
        <f t="shared" si="458"/>
        <v>28.954937748486657</v>
      </c>
      <c r="AC524">
        <v>1</v>
      </c>
      <c r="AD524">
        <f t="shared" si="442"/>
        <v>175.30086987000001</v>
      </c>
      <c r="AE524">
        <f t="shared" si="443"/>
        <v>-1.7072441653988153</v>
      </c>
      <c r="AF524">
        <f t="shared" si="444"/>
        <v>0.18503980708499998</v>
      </c>
      <c r="AG524">
        <f t="shared" si="421"/>
        <v>10.420889774737301</v>
      </c>
      <c r="AH524">
        <f t="shared" si="422"/>
        <v>-101.55113952076586</v>
      </c>
      <c r="AJ524">
        <f t="shared" si="445"/>
        <v>10500</v>
      </c>
      <c r="AK524">
        <f t="shared" si="446"/>
        <v>4049.4500939970003</v>
      </c>
      <c r="AL524">
        <v>1</v>
      </c>
      <c r="AM524">
        <f t="shared" si="447"/>
        <v>184.45157527721403</v>
      </c>
      <c r="AN524">
        <f t="shared" si="423"/>
        <v>22.261967159226778</v>
      </c>
      <c r="AO524">
        <f t="shared" si="424"/>
        <v>-56.80481729198398</v>
      </c>
      <c r="AQ524">
        <f t="shared" si="448"/>
        <v>1.0405826180455132E-3</v>
      </c>
      <c r="AR524">
        <f t="shared" si="449"/>
        <v>-3.2258061159410909</v>
      </c>
      <c r="AT524">
        <f t="shared" si="418"/>
        <v>-327.57344315010937</v>
      </c>
      <c r="AU524">
        <f t="shared" si="419"/>
        <v>-33.72144231952359</v>
      </c>
      <c r="AV524">
        <f t="shared" si="459"/>
        <v>-3.0390108476558644</v>
      </c>
      <c r="AW524">
        <f t="shared" si="460"/>
        <v>-153.30360689553208</v>
      </c>
      <c r="AX524">
        <f t="shared" si="461"/>
        <v>-231.65419916969216</v>
      </c>
      <c r="AY524">
        <f t="shared" si="469"/>
        <v>-2.1554066908978009</v>
      </c>
      <c r="BA524">
        <f t="shared" si="450"/>
        <v>1.1854567184655231</v>
      </c>
      <c r="BB524">
        <f t="shared" si="462"/>
        <v>1.4777140465080203</v>
      </c>
      <c r="BC524">
        <f t="shared" si="463"/>
        <v>-0.88360415675806347</v>
      </c>
      <c r="BD524">
        <f t="shared" si="451"/>
        <v>-230.62678900030258</v>
      </c>
      <c r="BF524">
        <f t="shared" si="452"/>
        <v>-56.783681964919737</v>
      </c>
      <c r="BG524">
        <f t="shared" si="453"/>
        <v>-186.13052126796899</v>
      </c>
      <c r="BH524">
        <f t="shared" si="464"/>
        <v>-6.1305212679689873</v>
      </c>
      <c r="BI524">
        <f t="shared" si="465"/>
        <v>-6.1305212679689873</v>
      </c>
      <c r="BJ524">
        <f t="shared" si="454"/>
        <v>0</v>
      </c>
      <c r="BK524">
        <f t="shared" si="466"/>
        <v>0</v>
      </c>
      <c r="BM524">
        <f t="shared" si="467"/>
        <v>-58.261396011427763</v>
      </c>
      <c r="BN524">
        <f t="shared" si="455"/>
        <v>-135.50373226766641</v>
      </c>
      <c r="BQ524" s="56">
        <f t="shared" si="468"/>
        <v>18.379674846793158</v>
      </c>
    </row>
    <row r="525" spans="1:69" x14ac:dyDescent="0.2">
      <c r="A525">
        <f t="shared" si="420"/>
        <v>1555000</v>
      </c>
      <c r="B525">
        <f t="shared" si="456"/>
        <v>1555</v>
      </c>
      <c r="C525">
        <f t="shared" si="425"/>
        <v>1.3980693849363091</v>
      </c>
      <c r="D525">
        <f t="shared" si="426"/>
        <v>0.77378296718262651</v>
      </c>
      <c r="F525">
        <f t="shared" si="427"/>
        <v>5.7968847127666895E-5</v>
      </c>
      <c r="G525">
        <f t="shared" si="428"/>
        <v>4.418962354311785E-3</v>
      </c>
      <c r="H525">
        <f t="shared" si="429"/>
        <v>-3.1371736876456886</v>
      </c>
      <c r="J525">
        <f t="shared" si="430"/>
        <v>15</v>
      </c>
      <c r="M525">
        <f t="shared" si="431"/>
        <v>5.130348162166071E-4</v>
      </c>
      <c r="N525">
        <f t="shared" si="432"/>
        <v>-1.5707963250000001</v>
      </c>
      <c r="O525">
        <f t="shared" si="433"/>
        <v>175.86919959195961</v>
      </c>
      <c r="P525">
        <f t="shared" si="434"/>
        <v>1.5651102521956233</v>
      </c>
      <c r="Q525">
        <f t="shared" si="435"/>
        <v>185.04928236139847</v>
      </c>
      <c r="R525">
        <f t="shared" si="436"/>
        <v>1.5653923346559155</v>
      </c>
      <c r="S525">
        <f t="shared" si="437"/>
        <v>0.93262798783675382</v>
      </c>
      <c r="T525">
        <f t="shared" si="438"/>
        <v>-0.36916772033077144</v>
      </c>
      <c r="U525">
        <f t="shared" si="439"/>
        <v>0.10741155164119874</v>
      </c>
      <c r="V525">
        <f t="shared" si="440"/>
        <v>-1.4631771565978191</v>
      </c>
      <c r="X525">
        <f t="shared" si="457"/>
        <v>-53.836037727439333</v>
      </c>
      <c r="Y525">
        <f t="shared" si="441"/>
        <v>-151.03335577170404</v>
      </c>
      <c r="Z525">
        <f t="shared" si="458"/>
        <v>28.966644228295962</v>
      </c>
      <c r="AC525">
        <v>1</v>
      </c>
      <c r="AD525">
        <f t="shared" si="442"/>
        <v>175.86635654700004</v>
      </c>
      <c r="AE525">
        <f t="shared" si="443"/>
        <v>-1.7182764091731408</v>
      </c>
      <c r="AF525">
        <f t="shared" si="444"/>
        <v>0.18563670968849999</v>
      </c>
      <c r="AG525">
        <f t="shared" si="421"/>
        <v>10.354754077601791</v>
      </c>
      <c r="AH525">
        <f t="shared" si="422"/>
        <v>-101.23175360017011</v>
      </c>
      <c r="AJ525">
        <f t="shared" si="445"/>
        <v>10500</v>
      </c>
      <c r="AK525">
        <f t="shared" si="446"/>
        <v>4062.5128362357009</v>
      </c>
      <c r="AL525">
        <v>1</v>
      </c>
      <c r="AM525">
        <f t="shared" si="447"/>
        <v>185.04658035875343</v>
      </c>
      <c r="AN525">
        <f t="shared" si="423"/>
        <v>22.259989912168791</v>
      </c>
      <c r="AO525">
        <f t="shared" si="424"/>
        <v>-56.62217583148216</v>
      </c>
      <c r="AQ525">
        <f t="shared" si="448"/>
        <v>1.0339015277032364E-3</v>
      </c>
      <c r="AR525">
        <f t="shared" si="449"/>
        <v>-3.215433751157065</v>
      </c>
      <c r="AT525">
        <f t="shared" si="418"/>
        <v>-325.49329141874284</v>
      </c>
      <c r="AU525">
        <f t="shared" si="419"/>
        <v>-33.399689410751336</v>
      </c>
      <c r="AV525">
        <f t="shared" si="459"/>
        <v>-3.0393380145947106</v>
      </c>
      <c r="AW525">
        <f t="shared" si="460"/>
        <v>-152.17782932053399</v>
      </c>
      <c r="AX525">
        <f t="shared" si="461"/>
        <v>-230.90785730975199</v>
      </c>
      <c r="AY525">
        <f t="shared" si="469"/>
        <v>-2.153501279884555</v>
      </c>
      <c r="BA525">
        <f t="shared" si="450"/>
        <v>1.1831843475948047</v>
      </c>
      <c r="BB525">
        <f t="shared" si="462"/>
        <v>1.4610483144662316</v>
      </c>
      <c r="BC525">
        <f t="shared" si="463"/>
        <v>-0.88583673471015567</v>
      </c>
      <c r="BD525">
        <f t="shared" si="451"/>
        <v>-230.75470629453758</v>
      </c>
      <c r="BF525">
        <f t="shared" si="452"/>
        <v>-56.842658726603048</v>
      </c>
      <c r="BG525">
        <f t="shared" si="453"/>
        <v>-186.16702007218507</v>
      </c>
      <c r="BH525">
        <f t="shared" si="464"/>
        <v>-6.1670200721850676</v>
      </c>
      <c r="BI525">
        <f t="shared" si="465"/>
        <v>-6.1670200721850676</v>
      </c>
      <c r="BJ525">
        <f t="shared" si="454"/>
        <v>0</v>
      </c>
      <c r="BK525">
        <f t="shared" si="466"/>
        <v>0</v>
      </c>
      <c r="BM525">
        <f t="shared" si="467"/>
        <v>-58.303707041069288</v>
      </c>
      <c r="BN525">
        <f t="shared" si="455"/>
        <v>-135.41231377764751</v>
      </c>
      <c r="BQ525" s="56">
        <f t="shared" si="468"/>
        <v>18.363009114751367</v>
      </c>
    </row>
    <row r="526" spans="1:69" x14ac:dyDescent="0.2">
      <c r="A526">
        <f t="shared" si="420"/>
        <v>1560000</v>
      </c>
      <c r="B526">
        <f t="shared" si="456"/>
        <v>1560</v>
      </c>
      <c r="C526">
        <f t="shared" si="425"/>
        <v>1.4002666776810822</v>
      </c>
      <c r="D526">
        <f t="shared" si="426"/>
        <v>0.77538772898723773</v>
      </c>
      <c r="F526">
        <f t="shared" si="427"/>
        <v>5.7597829262000286E-5</v>
      </c>
      <c r="G526">
        <f t="shared" si="428"/>
        <v>4.4047975300695475E-3</v>
      </c>
      <c r="H526">
        <f t="shared" si="429"/>
        <v>-3.1371878524699306</v>
      </c>
      <c r="J526">
        <f t="shared" si="430"/>
        <v>15</v>
      </c>
      <c r="M526">
        <f t="shared" si="431"/>
        <v>5.1139047385693852E-4</v>
      </c>
      <c r="N526">
        <f t="shared" si="432"/>
        <v>-1.5707963250000001</v>
      </c>
      <c r="O526">
        <f t="shared" si="433"/>
        <v>176.43467715678261</v>
      </c>
      <c r="P526">
        <f t="shared" si="434"/>
        <v>1.5651284764027684</v>
      </c>
      <c r="Q526">
        <f t="shared" si="435"/>
        <v>185.64427878279884</v>
      </c>
      <c r="R526">
        <f t="shared" si="436"/>
        <v>1.5654096548079535</v>
      </c>
      <c r="S526">
        <f t="shared" si="437"/>
        <v>0.93223714655361445</v>
      </c>
      <c r="T526">
        <f t="shared" si="438"/>
        <v>-0.37024935348619065</v>
      </c>
      <c r="U526">
        <f t="shared" si="439"/>
        <v>0.10707123689176891</v>
      </c>
      <c r="V526">
        <f t="shared" si="440"/>
        <v>-1.4635194453237357</v>
      </c>
      <c r="X526">
        <f t="shared" si="457"/>
        <v>-53.881489931101669</v>
      </c>
      <c r="Y526">
        <f t="shared" si="441"/>
        <v>-151.02176945019954</v>
      </c>
      <c r="Z526">
        <f t="shared" si="458"/>
        <v>28.978230549800458</v>
      </c>
      <c r="AC526">
        <v>1</v>
      </c>
      <c r="AD526">
        <f t="shared" si="442"/>
        <v>176.43184322400003</v>
      </c>
      <c r="AE526">
        <f t="shared" si="443"/>
        <v>-1.7293441835232288</v>
      </c>
      <c r="AF526">
        <f t="shared" si="444"/>
        <v>0.186233612292</v>
      </c>
      <c r="AG526">
        <f t="shared" si="421"/>
        <v>10.289243560467552</v>
      </c>
      <c r="AH526">
        <f t="shared" si="422"/>
        <v>-100.91434769939065</v>
      </c>
      <c r="AJ526">
        <f t="shared" si="445"/>
        <v>10500</v>
      </c>
      <c r="AK526">
        <f t="shared" si="446"/>
        <v>4075.5755784744006</v>
      </c>
      <c r="AL526">
        <v>1</v>
      </c>
      <c r="AM526">
        <f t="shared" si="447"/>
        <v>185.6415854402928</v>
      </c>
      <c r="AN526">
        <f t="shared" si="423"/>
        <v>22.258031645881921</v>
      </c>
      <c r="AO526">
        <f t="shared" si="424"/>
        <v>-56.440705047329139</v>
      </c>
      <c r="AQ526">
        <f t="shared" si="448"/>
        <v>1.0272845755994642E-3</v>
      </c>
      <c r="AR526">
        <f t="shared" si="449"/>
        <v>-3.2051278758703283</v>
      </c>
      <c r="AT526">
        <f t="shared" si="418"/>
        <v>-323.43281890538344</v>
      </c>
      <c r="AU526">
        <f t="shared" si="419"/>
        <v>-33.082009110122087</v>
      </c>
      <c r="AV526">
        <f t="shared" si="459"/>
        <v>-3.0396631097012228</v>
      </c>
      <c r="AW526">
        <f t="shared" si="460"/>
        <v>-151.06286585440918</v>
      </c>
      <c r="AX526">
        <f t="shared" si="461"/>
        <v>-230.16631455545746</v>
      </c>
      <c r="AY526">
        <f t="shared" si="469"/>
        <v>-2.1516019420155832</v>
      </c>
      <c r="BA526">
        <f t="shared" si="450"/>
        <v>1.1809171911397964</v>
      </c>
      <c r="BB526">
        <f t="shared" si="462"/>
        <v>1.4443888973688159</v>
      </c>
      <c r="BC526">
        <f t="shared" si="463"/>
        <v>-0.88806116768563959</v>
      </c>
      <c r="BD526">
        <f t="shared" si="451"/>
        <v>-230.88215691598816</v>
      </c>
      <c r="BF526">
        <f t="shared" si="452"/>
        <v>-56.901448519828449</v>
      </c>
      <c r="BG526">
        <f t="shared" si="453"/>
        <v>-186.20333619965015</v>
      </c>
      <c r="BH526">
        <f t="shared" si="464"/>
        <v>-6.2033361996501526</v>
      </c>
      <c r="BI526">
        <f t="shared" si="465"/>
        <v>-6.2033361996501526</v>
      </c>
      <c r="BJ526">
        <f t="shared" si="454"/>
        <v>0</v>
      </c>
      <c r="BK526">
        <f t="shared" si="466"/>
        <v>0</v>
      </c>
      <c r="BM526">
        <f t="shared" si="467"/>
        <v>-58.345837417197266</v>
      </c>
      <c r="BN526">
        <f t="shared" si="455"/>
        <v>-135.32117928366196</v>
      </c>
      <c r="BQ526" s="56">
        <f t="shared" si="468"/>
        <v>18.346349697653952</v>
      </c>
    </row>
    <row r="527" spans="1:69" x14ac:dyDescent="0.2">
      <c r="A527">
        <f t="shared" si="420"/>
        <v>1565000</v>
      </c>
      <c r="B527">
        <f t="shared" si="456"/>
        <v>1565</v>
      </c>
      <c r="C527">
        <f t="shared" si="425"/>
        <v>1.4024675651723999</v>
      </c>
      <c r="D527">
        <f t="shared" si="426"/>
        <v>0.77698745820652704</v>
      </c>
      <c r="F527">
        <f t="shared" si="427"/>
        <v>5.7230362025506157E-5</v>
      </c>
      <c r="G527">
        <f t="shared" si="428"/>
        <v>4.3907232300366833E-3</v>
      </c>
      <c r="H527">
        <f t="shared" si="429"/>
        <v>-3.1372019267699636</v>
      </c>
      <c r="J527">
        <f t="shared" si="430"/>
        <v>15</v>
      </c>
      <c r="M527">
        <f t="shared" si="431"/>
        <v>5.0975663847720382E-4</v>
      </c>
      <c r="N527">
        <f t="shared" si="432"/>
        <v>-1.5707963250000001</v>
      </c>
      <c r="O527">
        <f t="shared" si="433"/>
        <v>177.00015477982899</v>
      </c>
      <c r="P527">
        <f t="shared" si="434"/>
        <v>1.5651465841650345</v>
      </c>
      <c r="Q527">
        <f t="shared" si="435"/>
        <v>186.23927525953434</v>
      </c>
      <c r="R527">
        <f t="shared" si="436"/>
        <v>1.5654268642912945</v>
      </c>
      <c r="S527">
        <f t="shared" si="437"/>
        <v>0.93184554389313212</v>
      </c>
      <c r="T527">
        <f t="shared" si="438"/>
        <v>-0.37133007918692018</v>
      </c>
      <c r="U527">
        <f t="shared" si="439"/>
        <v>0.10673305940052973</v>
      </c>
      <c r="V527">
        <f t="shared" si="440"/>
        <v>-1.4638595718962337</v>
      </c>
      <c r="X527">
        <f t="shared" si="457"/>
        <v>-53.926774427280037</v>
      </c>
      <c r="Y527">
        <f t="shared" si="441"/>
        <v>-151.01030342499911</v>
      </c>
      <c r="Z527">
        <f t="shared" si="458"/>
        <v>28.989696575000892</v>
      </c>
      <c r="AC527">
        <v>1</v>
      </c>
      <c r="AD527">
        <f t="shared" si="442"/>
        <v>176.99732990100003</v>
      </c>
      <c r="AE527">
        <f t="shared" si="443"/>
        <v>-1.7404474884490797</v>
      </c>
      <c r="AF527">
        <f t="shared" si="444"/>
        <v>0.18683051489550001</v>
      </c>
      <c r="AG527">
        <f t="shared" si="421"/>
        <v>10.22435039876739</v>
      </c>
      <c r="AH527">
        <f t="shared" si="422"/>
        <v>-100.59890368053976</v>
      </c>
      <c r="AJ527">
        <f t="shared" si="445"/>
        <v>10500</v>
      </c>
      <c r="AK527">
        <f t="shared" si="446"/>
        <v>4088.6383207131007</v>
      </c>
      <c r="AL527">
        <v>1</v>
      </c>
      <c r="AM527">
        <f t="shared" si="447"/>
        <v>186.23659052183223</v>
      </c>
      <c r="AN527">
        <f t="shared" si="423"/>
        <v>22.256092118199973</v>
      </c>
      <c r="AO527">
        <f t="shared" si="424"/>
        <v>-56.260393720285116</v>
      </c>
      <c r="AQ527">
        <f t="shared" si="448"/>
        <v>1.0207309433870977E-3</v>
      </c>
      <c r="AR527">
        <f t="shared" si="449"/>
        <v>-3.1948878528016156</v>
      </c>
      <c r="AT527">
        <f t="shared" si="418"/>
        <v>-321.3917790632882</v>
      </c>
      <c r="AU527">
        <f t="shared" si="419"/>
        <v>-32.768337305666833</v>
      </c>
      <c r="AV527">
        <f t="shared" si="459"/>
        <v>-3.0399861525139711</v>
      </c>
      <c r="AW527">
        <f t="shared" si="460"/>
        <v>-149.95857841419016</v>
      </c>
      <c r="AX527">
        <f t="shared" si="461"/>
        <v>-229.4295247079896</v>
      </c>
      <c r="AY527">
        <f t="shared" si="469"/>
        <v>-2.1497086504030616</v>
      </c>
      <c r="BA527">
        <f t="shared" si="450"/>
        <v>1.1786552584909409</v>
      </c>
      <c r="BB527">
        <f t="shared" si="462"/>
        <v>1.4277359623186912</v>
      </c>
      <c r="BC527">
        <f t="shared" si="463"/>
        <v>-0.8902775021109095</v>
      </c>
      <c r="BD527">
        <f t="shared" si="451"/>
        <v>-231.00914352469078</v>
      </c>
      <c r="BF527">
        <f t="shared" si="452"/>
        <v>-56.960052470813736</v>
      </c>
      <c r="BG527">
        <f t="shared" si="453"/>
        <v>-186.23947147361139</v>
      </c>
      <c r="BH527">
        <f t="shared" si="464"/>
        <v>-6.2394714736113883</v>
      </c>
      <c r="BI527">
        <f t="shared" si="465"/>
        <v>-6.2394714736113883</v>
      </c>
      <c r="BJ527">
        <f t="shared" si="454"/>
        <v>0</v>
      </c>
      <c r="BK527">
        <f t="shared" si="466"/>
        <v>0</v>
      </c>
      <c r="BM527">
        <f t="shared" si="467"/>
        <v>-58.387788433132428</v>
      </c>
      <c r="BN527">
        <f t="shared" si="455"/>
        <v>-135.2303279489206</v>
      </c>
      <c r="BQ527" s="56">
        <f t="shared" si="468"/>
        <v>18.329696762603827</v>
      </c>
    </row>
    <row r="528" spans="1:69" x14ac:dyDescent="0.2">
      <c r="A528">
        <f t="shared" si="420"/>
        <v>1570000</v>
      </c>
      <c r="B528">
        <f t="shared" si="456"/>
        <v>1570</v>
      </c>
      <c r="C528">
        <f t="shared" si="425"/>
        <v>1.4046720305131517</v>
      </c>
      <c r="D528">
        <f t="shared" si="426"/>
        <v>0.77858217032753496</v>
      </c>
      <c r="F528">
        <f t="shared" si="427"/>
        <v>5.6866400255684073E-5</v>
      </c>
      <c r="G528">
        <f t="shared" si="428"/>
        <v>4.3767385891528019E-3</v>
      </c>
      <c r="H528">
        <f t="shared" si="429"/>
        <v>-3.1372159114108475</v>
      </c>
      <c r="J528">
        <f t="shared" si="430"/>
        <v>15</v>
      </c>
      <c r="M528">
        <f t="shared" si="431"/>
        <v>5.081332096922446E-4</v>
      </c>
      <c r="N528">
        <f t="shared" si="432"/>
        <v>-1.5707963250000001</v>
      </c>
      <c r="O528">
        <f t="shared" si="433"/>
        <v>177.5656324605425</v>
      </c>
      <c r="P528">
        <f t="shared" si="434"/>
        <v>1.5651645765949052</v>
      </c>
      <c r="Q528">
        <f t="shared" si="435"/>
        <v>186.83427179107633</v>
      </c>
      <c r="R528">
        <f t="shared" si="436"/>
        <v>1.5654439641632423</v>
      </c>
      <c r="S528">
        <f t="shared" si="437"/>
        <v>0.93145318355693385</v>
      </c>
      <c r="T528">
        <f t="shared" si="438"/>
        <v>-0.37240989605314168</v>
      </c>
      <c r="U528">
        <f t="shared" si="439"/>
        <v>0.10639699921370684</v>
      </c>
      <c r="V528">
        <f t="shared" si="440"/>
        <v>-1.4641975566595407</v>
      </c>
      <c r="X528">
        <f t="shared" si="457"/>
        <v>-53.97189243452523</v>
      </c>
      <c r="Y528">
        <f t="shared" si="441"/>
        <v>-150.99895782058584</v>
      </c>
      <c r="Z528">
        <f t="shared" si="458"/>
        <v>29.001042179414156</v>
      </c>
      <c r="AC528">
        <v>1</v>
      </c>
      <c r="AD528">
        <f t="shared" si="442"/>
        <v>177.56281657800002</v>
      </c>
      <c r="AE528">
        <f t="shared" si="443"/>
        <v>-1.751586323950693</v>
      </c>
      <c r="AF528">
        <f t="shared" si="444"/>
        <v>0.18742741749899999</v>
      </c>
      <c r="AG528">
        <f t="shared" si="421"/>
        <v>10.160066889487027</v>
      </c>
      <c r="AH528">
        <f t="shared" si="422"/>
        <v>-100.2854036237789</v>
      </c>
      <c r="AJ528">
        <f t="shared" si="445"/>
        <v>10500</v>
      </c>
      <c r="AK528">
        <f t="shared" si="446"/>
        <v>4101.7010629518008</v>
      </c>
      <c r="AL528">
        <v>1</v>
      </c>
      <c r="AM528">
        <f t="shared" si="447"/>
        <v>186.83159560337162</v>
      </c>
      <c r="AN528">
        <f t="shared" si="423"/>
        <v>22.25417109080654</v>
      </c>
      <c r="AO528">
        <f t="shared" si="424"/>
        <v>-56.081230774009988</v>
      </c>
      <c r="AQ528">
        <f t="shared" si="448"/>
        <v>1.0142398257292561E-3</v>
      </c>
      <c r="AR528">
        <f t="shared" si="449"/>
        <v>-3.1847130527898644</v>
      </c>
      <c r="AT528">
        <f t="shared" si="418"/>
        <v>-319.36992918047724</v>
      </c>
      <c r="AU528">
        <f t="shared" si="419"/>
        <v>-32.458611090462021</v>
      </c>
      <c r="AV528">
        <f t="shared" si="459"/>
        <v>-3.0403071623276161</v>
      </c>
      <c r="AW528">
        <f t="shared" si="460"/>
        <v>-148.86483111412636</v>
      </c>
      <c r="AX528">
        <f t="shared" si="461"/>
        <v>-228.69744216045768</v>
      </c>
      <c r="AY528">
        <f t="shared" si="469"/>
        <v>-2.1478213782452897</v>
      </c>
      <c r="BA528">
        <f t="shared" si="450"/>
        <v>1.1763985585646246</v>
      </c>
      <c r="BB528">
        <f t="shared" si="462"/>
        <v>1.4110896739292462</v>
      </c>
      <c r="BC528">
        <f t="shared" si="463"/>
        <v>-0.89248578408232637</v>
      </c>
      <c r="BD528">
        <f t="shared" si="451"/>
        <v>-231.13566876177239</v>
      </c>
      <c r="BF528">
        <f t="shared" si="452"/>
        <v>-57.018471695941493</v>
      </c>
      <c r="BG528">
        <f t="shared" si="453"/>
        <v>-186.27542769741805</v>
      </c>
      <c r="BH528">
        <f t="shared" si="464"/>
        <v>-6.2754276974180527</v>
      </c>
      <c r="BI528">
        <f t="shared" si="465"/>
        <v>-6.2754276974180527</v>
      </c>
      <c r="BJ528">
        <f t="shared" si="454"/>
        <v>0</v>
      </c>
      <c r="BK528">
        <f t="shared" si="466"/>
        <v>0</v>
      </c>
      <c r="BM528">
        <f t="shared" si="467"/>
        <v>-58.42956136987074</v>
      </c>
      <c r="BN528">
        <f t="shared" si="455"/>
        <v>-135.13975893564566</v>
      </c>
      <c r="BQ528" s="56">
        <f t="shared" si="468"/>
        <v>18.313050474214382</v>
      </c>
    </row>
    <row r="529" spans="1:69" x14ac:dyDescent="0.2">
      <c r="A529">
        <f t="shared" si="420"/>
        <v>1575000</v>
      </c>
      <c r="B529">
        <f t="shared" si="456"/>
        <v>1575</v>
      </c>
      <c r="C529">
        <f t="shared" si="425"/>
        <v>1.4068800568847504</v>
      </c>
      <c r="D529">
        <f t="shared" si="426"/>
        <v>0.78017188084238598</v>
      </c>
      <c r="F529">
        <f t="shared" si="427"/>
        <v>5.6505899505828202E-5</v>
      </c>
      <c r="G529">
        <f t="shared" si="428"/>
        <v>4.3628427533452382E-3</v>
      </c>
      <c r="H529">
        <f t="shared" si="429"/>
        <v>-3.1372298072466549</v>
      </c>
      <c r="J529">
        <f t="shared" si="430"/>
        <v>15</v>
      </c>
      <c r="M529">
        <f t="shared" si="431"/>
        <v>5.0652008839163429E-4</v>
      </c>
      <c r="N529">
        <f t="shared" si="432"/>
        <v>-1.5707963250000001</v>
      </c>
      <c r="O529">
        <f t="shared" si="433"/>
        <v>178.13111019837393</v>
      </c>
      <c r="P529">
        <f t="shared" si="434"/>
        <v>1.5651824547907374</v>
      </c>
      <c r="Q529">
        <f t="shared" si="435"/>
        <v>187.42926837690285</v>
      </c>
      <c r="R529">
        <f t="shared" si="436"/>
        <v>1.5654609554676748</v>
      </c>
      <c r="S529">
        <f t="shared" si="437"/>
        <v>0.9310600692449138</v>
      </c>
      <c r="T529">
        <f t="shared" si="438"/>
        <v>-0.3734888027158344</v>
      </c>
      <c r="U529">
        <f t="shared" si="439"/>
        <v>0.10606303662367228</v>
      </c>
      <c r="V529">
        <f t="shared" si="440"/>
        <v>-1.4645334197044275</v>
      </c>
      <c r="X529">
        <f t="shared" si="457"/>
        <v>-54.016845159801093</v>
      </c>
      <c r="Y529">
        <f t="shared" si="441"/>
        <v>-150.9877327481974</v>
      </c>
      <c r="Z529">
        <f t="shared" si="458"/>
        <v>29.012267251802598</v>
      </c>
      <c r="AC529">
        <v>1</v>
      </c>
      <c r="AD529">
        <f t="shared" si="442"/>
        <v>178.12830325500002</v>
      </c>
      <c r="AE529">
        <f t="shared" si="443"/>
        <v>-1.7627606900280695</v>
      </c>
      <c r="AF529">
        <f t="shared" si="444"/>
        <v>0.1880243201025</v>
      </c>
      <c r="AG529">
        <f t="shared" si="421"/>
        <v>10.096385448915122</v>
      </c>
      <c r="AH529">
        <f t="shared" si="422"/>
        <v>-99.97382982409755</v>
      </c>
      <c r="AJ529">
        <f t="shared" si="445"/>
        <v>10500</v>
      </c>
      <c r="AK529">
        <f t="shared" si="446"/>
        <v>4114.7638051905005</v>
      </c>
      <c r="AL529">
        <v>1</v>
      </c>
      <c r="AM529">
        <f t="shared" si="447"/>
        <v>187.42660068491102</v>
      </c>
      <c r="AN529">
        <f t="shared" si="423"/>
        <v>22.252268329161772</v>
      </c>
      <c r="AO529">
        <f t="shared" si="424"/>
        <v>-55.903205272795404</v>
      </c>
      <c r="AQ529">
        <f t="shared" si="448"/>
        <v>1.007810430051859E-3</v>
      </c>
      <c r="AR529">
        <f t="shared" si="449"/>
        <v>-3.1746028546633553</v>
      </c>
      <c r="AT529">
        <f t="shared" si="418"/>
        <v>-317.36703030864737</v>
      </c>
      <c r="AU529">
        <f t="shared" si="419"/>
        <v>-32.152768736336462</v>
      </c>
      <c r="AV529">
        <f t="shared" si="459"/>
        <v>-3.0406261581966874</v>
      </c>
      <c r="AW529">
        <f t="shared" si="460"/>
        <v>-147.78149022385657</v>
      </c>
      <c r="AX529">
        <f t="shared" si="461"/>
        <v>-227.97002188843402</v>
      </c>
      <c r="AY529">
        <f t="shared" si="469"/>
        <v>-2.1459400988273742</v>
      </c>
      <c r="BA529">
        <f t="shared" si="450"/>
        <v>1.1741470998115384</v>
      </c>
      <c r="BB529">
        <f t="shared" si="462"/>
        <v>1.3944501943557115</v>
      </c>
      <c r="BC529">
        <f t="shared" si="463"/>
        <v>-0.89468605936931311</v>
      </c>
      <c r="BD529">
        <f t="shared" si="451"/>
        <v>-231.26173524962772</v>
      </c>
      <c r="BF529">
        <f t="shared" si="452"/>
        <v>-57.076707301875643</v>
      </c>
      <c r="BG529">
        <f t="shared" si="453"/>
        <v>-186.31120665476624</v>
      </c>
      <c r="BH529">
        <f t="shared" si="464"/>
        <v>-6.311206654766238</v>
      </c>
      <c r="BI529">
        <f t="shared" si="465"/>
        <v>-6.311206654766238</v>
      </c>
      <c r="BJ529">
        <f t="shared" si="454"/>
        <v>0</v>
      </c>
      <c r="BK529">
        <f t="shared" si="466"/>
        <v>0</v>
      </c>
      <c r="BM529">
        <f t="shared" si="467"/>
        <v>-58.471157496231349</v>
      </c>
      <c r="BN529">
        <f t="shared" si="455"/>
        <v>-135.04947140513852</v>
      </c>
      <c r="BQ529" s="56">
        <f t="shared" si="468"/>
        <v>18.296410994640848</v>
      </c>
    </row>
    <row r="530" spans="1:69" x14ac:dyDescent="0.2">
      <c r="A530">
        <f t="shared" si="420"/>
        <v>1580000</v>
      </c>
      <c r="B530">
        <f t="shared" si="456"/>
        <v>1580</v>
      </c>
      <c r="C530">
        <f t="shared" si="425"/>
        <v>1.4090916275469434</v>
      </c>
      <c r="D530">
        <f t="shared" si="426"/>
        <v>0.78175660524729962</v>
      </c>
      <c r="F530">
        <f t="shared" si="427"/>
        <v>5.6148816031456267E-5</v>
      </c>
      <c r="G530">
        <f t="shared" si="428"/>
        <v>4.349034879355145E-3</v>
      </c>
      <c r="H530">
        <f t="shared" si="429"/>
        <v>-3.1372436151206449</v>
      </c>
      <c r="J530">
        <f t="shared" si="430"/>
        <v>15</v>
      </c>
      <c r="M530">
        <f t="shared" si="431"/>
        <v>5.0491717671950894E-4</v>
      </c>
      <c r="N530">
        <f t="shared" si="432"/>
        <v>-1.5707963250000001</v>
      </c>
      <c r="O530">
        <f t="shared" si="433"/>
        <v>178.69658799278105</v>
      </c>
      <c r="P530">
        <f t="shared" si="434"/>
        <v>1.5652002198369863</v>
      </c>
      <c r="Q530">
        <f t="shared" si="435"/>
        <v>188.02426501649856</v>
      </c>
      <c r="R530">
        <f t="shared" si="436"/>
        <v>1.5654778392352575</v>
      </c>
      <c r="S530">
        <f t="shared" si="437"/>
        <v>0.93066620465516126</v>
      </c>
      <c r="T530">
        <f t="shared" si="438"/>
        <v>-0.37456679781676044</v>
      </c>
      <c r="U530">
        <f t="shared" si="439"/>
        <v>0.10573115216518357</v>
      </c>
      <c r="V530">
        <f t="shared" si="440"/>
        <v>-1.4648671808721265</v>
      </c>
      <c r="X530">
        <f t="shared" si="457"/>
        <v>-54.061633798619475</v>
      </c>
      <c r="Y530">
        <f t="shared" si="441"/>
        <v>-150.97662830609116</v>
      </c>
      <c r="Z530">
        <f t="shared" si="458"/>
        <v>29.023371693908842</v>
      </c>
      <c r="AC530">
        <v>1</v>
      </c>
      <c r="AD530">
        <f t="shared" si="442"/>
        <v>178.69378993200002</v>
      </c>
      <c r="AE530">
        <f t="shared" si="443"/>
        <v>-1.7739705866812083</v>
      </c>
      <c r="AF530">
        <f t="shared" si="444"/>
        <v>0.18862122270600001</v>
      </c>
      <c r="AG530">
        <f t="shared" si="421"/>
        <v>10.033298610441584</v>
      </c>
      <c r="AH530">
        <f t="shared" si="422"/>
        <v>-99.664164788148312</v>
      </c>
      <c r="AJ530">
        <f t="shared" si="445"/>
        <v>10500</v>
      </c>
      <c r="AK530">
        <f t="shared" si="446"/>
        <v>4127.8265474292002</v>
      </c>
      <c r="AL530">
        <v>1</v>
      </c>
      <c r="AM530">
        <f t="shared" si="447"/>
        <v>188.02160576645042</v>
      </c>
      <c r="AN530">
        <f t="shared" si="423"/>
        <v>22.250383602430816</v>
      </c>
      <c r="AO530">
        <f t="shared" si="424"/>
        <v>-55.726306419340041</v>
      </c>
      <c r="AQ530">
        <f t="shared" si="448"/>
        <v>1.0014419763016767E-3</v>
      </c>
      <c r="AR530">
        <f t="shared" si="449"/>
        <v>-3.1645566451132985</v>
      </c>
      <c r="AT530">
        <f t="shared" si="418"/>
        <v>-315.38284719361229</v>
      </c>
      <c r="AU530">
        <f t="shared" si="419"/>
        <v>-31.850749668230836</v>
      </c>
      <c r="AV530">
        <f t="shared" si="459"/>
        <v>-3.0409431589392946</v>
      </c>
      <c r="AW530">
        <f t="shared" si="460"/>
        <v>-146.70842412750767</v>
      </c>
      <c r="AX530">
        <f t="shared" si="461"/>
        <v>-227.24721944067053</v>
      </c>
      <c r="AY530">
        <f t="shared" si="469"/>
        <v>-2.1440647855218891</v>
      </c>
      <c r="BA530">
        <f t="shared" si="450"/>
        <v>1.1719008902249084</v>
      </c>
      <c r="BB530">
        <f t="shared" si="462"/>
        <v>1.3778176833261038</v>
      </c>
      <c r="BC530">
        <f t="shared" si="463"/>
        <v>-0.89687837341740551</v>
      </c>
      <c r="BD530">
        <f t="shared" si="451"/>
        <v>-231.38734559209416</v>
      </c>
      <c r="BF530">
        <f t="shared" si="452"/>
        <v>-57.134760385676245</v>
      </c>
      <c r="BG530">
        <f t="shared" si="453"/>
        <v>-186.34681010994061</v>
      </c>
      <c r="BH530">
        <f t="shared" si="464"/>
        <v>-6.3468101099406056</v>
      </c>
      <c r="BI530">
        <f t="shared" si="465"/>
        <v>-6.3468101099406056</v>
      </c>
      <c r="BJ530">
        <f t="shared" si="454"/>
        <v>0</v>
      </c>
      <c r="BK530">
        <f t="shared" si="466"/>
        <v>0</v>
      </c>
      <c r="BM530">
        <f t="shared" si="467"/>
        <v>-58.512578069002352</v>
      </c>
      <c r="BN530">
        <f t="shared" si="455"/>
        <v>-134.95946451784644</v>
      </c>
      <c r="BQ530" s="56">
        <f t="shared" si="468"/>
        <v>18.279778483611238</v>
      </c>
    </row>
    <row r="531" spans="1:69" x14ac:dyDescent="0.2">
      <c r="A531">
        <f t="shared" si="420"/>
        <v>1585000</v>
      </c>
      <c r="B531">
        <f t="shared" si="456"/>
        <v>1585</v>
      </c>
      <c r="C531">
        <f t="shared" si="425"/>
        <v>1.4113067258376208</v>
      </c>
      <c r="D531">
        <f t="shared" si="426"/>
        <v>0.78333635904161636</v>
      </c>
      <c r="F531">
        <f t="shared" si="427"/>
        <v>5.5795106777037851E-5</v>
      </c>
      <c r="G531">
        <f t="shared" si="428"/>
        <v>4.3353141345668783E-3</v>
      </c>
      <c r="H531">
        <f t="shared" si="429"/>
        <v>-3.1372573358654332</v>
      </c>
      <c r="J531">
        <f t="shared" si="430"/>
        <v>15</v>
      </c>
      <c r="M531">
        <f t="shared" si="431"/>
        <v>5.0332437805477854E-4</v>
      </c>
      <c r="N531">
        <f t="shared" si="432"/>
        <v>-1.5707963250000001</v>
      </c>
      <c r="O531">
        <f t="shared" si="433"/>
        <v>179.26206584322844</v>
      </c>
      <c r="P531">
        <f t="shared" si="434"/>
        <v>1.5652178728044233</v>
      </c>
      <c r="Q531">
        <f t="shared" si="435"/>
        <v>188.61926170935465</v>
      </c>
      <c r="R531">
        <f t="shared" si="436"/>
        <v>1.5654946164836507</v>
      </c>
      <c r="S531">
        <f t="shared" si="437"/>
        <v>0.93027159348388666</v>
      </c>
      <c r="T531">
        <f t="shared" si="438"/>
        <v>-0.37564388000845061</v>
      </c>
      <c r="U531">
        <f t="shared" si="439"/>
        <v>0.10540132661169149</v>
      </c>
      <c r="V531">
        <f t="shared" si="440"/>
        <v>-1.4651988597581804</v>
      </c>
      <c r="X531">
        <f t="shared" si="457"/>
        <v>-54.106259535173322</v>
      </c>
      <c r="Y531">
        <f t="shared" si="441"/>
        <v>-150.96564457980486</v>
      </c>
      <c r="Z531">
        <f t="shared" si="458"/>
        <v>29.034355420195141</v>
      </c>
      <c r="AC531">
        <v>1</v>
      </c>
      <c r="AD531">
        <f t="shared" si="442"/>
        <v>179.25927660900001</v>
      </c>
      <c r="AE531">
        <f t="shared" si="443"/>
        <v>-1.7852160139101101</v>
      </c>
      <c r="AF531">
        <f t="shared" si="444"/>
        <v>0.1892181253095</v>
      </c>
      <c r="AG531">
        <f t="shared" si="421"/>
        <v>9.9707990224028933</v>
      </c>
      <c r="AH531">
        <f t="shared" si="422"/>
        <v>-99.356391231136627</v>
      </c>
      <c r="AJ531">
        <f t="shared" si="445"/>
        <v>10500</v>
      </c>
      <c r="AK531">
        <f t="shared" si="446"/>
        <v>4140.8892896678999</v>
      </c>
      <c r="AL531">
        <v>1</v>
      </c>
      <c r="AM531">
        <f t="shared" si="447"/>
        <v>188.61661084798982</v>
      </c>
      <c r="AN531">
        <f t="shared" si="423"/>
        <v>22.248516683413786</v>
      </c>
      <c r="AO531">
        <f t="shared" si="424"/>
        <v>-55.550523552566816</v>
      </c>
      <c r="AQ531">
        <f t="shared" si="448"/>
        <v>9.9513369670971991E-4</v>
      </c>
      <c r="AR531">
        <f t="shared" si="449"/>
        <v>-3.1545738185698116</v>
      </c>
      <c r="AT531">
        <f t="shared" si="418"/>
        <v>-313.41714820723251</v>
      </c>
      <c r="AU531">
        <f t="shared" si="419"/>
        <v>-31.552494439191218</v>
      </c>
      <c r="AV531">
        <f t="shared" si="459"/>
        <v>-3.0412581831407652</v>
      </c>
      <c r="AW531">
        <f t="shared" si="460"/>
        <v>-145.645503283696</v>
      </c>
      <c r="AX531">
        <f t="shared" si="461"/>
        <v>-226.52899092999209</v>
      </c>
      <c r="AY531">
        <f t="shared" si="469"/>
        <v>-2.1421954117895128</v>
      </c>
      <c r="BA531">
        <f t="shared" si="450"/>
        <v>1.1696599373486005</v>
      </c>
      <c r="BB531">
        <f t="shared" si="462"/>
        <v>1.361192298171757</v>
      </c>
      <c r="BC531">
        <f t="shared" si="463"/>
        <v>-0.89906277135125245</v>
      </c>
      <c r="BD531">
        <f t="shared" si="451"/>
        <v>-231.51250237462372</v>
      </c>
      <c r="BF531">
        <f t="shared" si="452"/>
        <v>-57.192632034912592</v>
      </c>
      <c r="BG531">
        <f t="shared" si="453"/>
        <v>-186.38223980805162</v>
      </c>
      <c r="BH531">
        <f t="shared" si="464"/>
        <v>-6.3822398080516223</v>
      </c>
      <c r="BI531">
        <f t="shared" si="465"/>
        <v>-6.3822398080516223</v>
      </c>
      <c r="BJ531">
        <f t="shared" si="454"/>
        <v>0</v>
      </c>
      <c r="BK531">
        <f t="shared" si="466"/>
        <v>0</v>
      </c>
      <c r="BM531">
        <f t="shared" si="467"/>
        <v>-58.553824333084343</v>
      </c>
      <c r="BN531">
        <f t="shared" si="455"/>
        <v>-134.86973743342793</v>
      </c>
      <c r="BQ531" s="56">
        <f t="shared" si="468"/>
        <v>18.263153098456893</v>
      </c>
    </row>
    <row r="532" spans="1:69" x14ac:dyDescent="0.2">
      <c r="A532">
        <f t="shared" si="420"/>
        <v>1590000</v>
      </c>
      <c r="B532">
        <f t="shared" si="456"/>
        <v>1590</v>
      </c>
      <c r="C532">
        <f t="shared" si="425"/>
        <v>1.4135253351726225</v>
      </c>
      <c r="D532">
        <f t="shared" si="426"/>
        <v>0.7849111577268385</v>
      </c>
      <c r="F532">
        <f t="shared" si="427"/>
        <v>5.5444729363014232E-5</v>
      </c>
      <c r="G532">
        <f t="shared" si="428"/>
        <v>4.3216796968405958E-3</v>
      </c>
      <c r="H532">
        <f t="shared" si="429"/>
        <v>-3.1372709703031596</v>
      </c>
      <c r="J532">
        <f t="shared" si="430"/>
        <v>15</v>
      </c>
      <c r="M532">
        <f t="shared" si="431"/>
        <v>5.0174159699171322E-4</v>
      </c>
      <c r="N532">
        <f t="shared" si="432"/>
        <v>-1.5707963250000001</v>
      </c>
      <c r="O532">
        <f t="shared" si="433"/>
        <v>179.82754374918744</v>
      </c>
      <c r="P532">
        <f t="shared" si="434"/>
        <v>1.565235414750352</v>
      </c>
      <c r="Q532">
        <f t="shared" si="435"/>
        <v>189.21425845496861</v>
      </c>
      <c r="R532">
        <f t="shared" si="436"/>
        <v>1.5655112882177151</v>
      </c>
      <c r="S532">
        <f t="shared" si="437"/>
        <v>0.92987623942535103</v>
      </c>
      <c r="T532">
        <f t="shared" si="438"/>
        <v>-0.3767200479541894</v>
      </c>
      <c r="U532">
        <f t="shared" si="439"/>
        <v>0.10507354097171448</v>
      </c>
      <c r="V532">
        <f t="shared" si="440"/>
        <v>-1.4655284757162177</v>
      </c>
      <c r="X532">
        <f t="shared" si="457"/>
        <v>-54.150723542467759</v>
      </c>
      <c r="Y532">
        <f t="shared" si="441"/>
        <v>-150.95478164241283</v>
      </c>
      <c r="Z532">
        <f t="shared" si="458"/>
        <v>29.045218357587174</v>
      </c>
      <c r="AC532">
        <v>1</v>
      </c>
      <c r="AD532">
        <f t="shared" si="442"/>
        <v>179.82476328600001</v>
      </c>
      <c r="AE532">
        <f t="shared" si="443"/>
        <v>-1.7964969717147743</v>
      </c>
      <c r="AF532">
        <f t="shared" si="444"/>
        <v>0.18981502791300001</v>
      </c>
      <c r="AG532">
        <f t="shared" si="421"/>
        <v>9.9088794459733958</v>
      </c>
      <c r="AH532">
        <f t="shared" si="422"/>
        <v>-99.050492073764389</v>
      </c>
      <c r="AJ532">
        <f t="shared" si="445"/>
        <v>10500</v>
      </c>
      <c r="AK532">
        <f t="shared" si="446"/>
        <v>4153.9520319066005</v>
      </c>
      <c r="AL532">
        <v>1</v>
      </c>
      <c r="AM532">
        <f t="shared" si="447"/>
        <v>189.21161592952922</v>
      </c>
      <c r="AN532">
        <f t="shared" si="423"/>
        <v>22.246667348477281</v>
      </c>
      <c r="AO532">
        <f t="shared" si="424"/>
        <v>-55.375846145481383</v>
      </c>
      <c r="AQ532">
        <f t="shared" si="448"/>
        <v>9.8888483555982401E-4</v>
      </c>
      <c r="AR532">
        <f t="shared" si="449"/>
        <v>-3.1446537770802405</v>
      </c>
      <c r="AT532">
        <f t="shared" si="418"/>
        <v>-311.46970528079805</v>
      </c>
      <c r="AU532">
        <f t="shared" si="419"/>
        <v>-31.257944705979483</v>
      </c>
      <c r="AV532">
        <f t="shared" si="459"/>
        <v>-3.0415712491572195</v>
      </c>
      <c r="AW532">
        <f t="shared" si="460"/>
        <v>-144.5926001864091</v>
      </c>
      <c r="AX532">
        <f t="shared" si="461"/>
        <v>-225.81529302436326</v>
      </c>
      <c r="AY532">
        <f t="shared" si="469"/>
        <v>-2.1403319511796433</v>
      </c>
      <c r="BA532">
        <f t="shared" si="450"/>
        <v>1.1674242482851032</v>
      </c>
      <c r="BB532">
        <f t="shared" si="462"/>
        <v>1.3445741938574642</v>
      </c>
      <c r="BC532">
        <f t="shared" si="463"/>
        <v>-0.90123929797757629</v>
      </c>
      <c r="BD532">
        <f t="shared" si="451"/>
        <v>-231.63720816445243</v>
      </c>
      <c r="BF532">
        <f t="shared" si="452"/>
        <v>-57.250323327774439</v>
      </c>
      <c r="BG532">
        <f t="shared" si="453"/>
        <v>-186.4174974752699</v>
      </c>
      <c r="BH532">
        <f t="shared" si="464"/>
        <v>-6.4174974752698972</v>
      </c>
      <c r="BI532">
        <f t="shared" si="465"/>
        <v>-6.4174974752698972</v>
      </c>
      <c r="BJ532">
        <f t="shared" si="454"/>
        <v>0</v>
      </c>
      <c r="BK532">
        <f t="shared" si="466"/>
        <v>0</v>
      </c>
      <c r="BM532">
        <f t="shared" si="467"/>
        <v>-58.594897521631907</v>
      </c>
      <c r="BN532">
        <f t="shared" si="455"/>
        <v>-134.78028931081749</v>
      </c>
      <c r="BQ532" s="56">
        <f t="shared" si="468"/>
        <v>18.2465349941426</v>
      </c>
    </row>
    <row r="533" spans="1:69" x14ac:dyDescent="0.2">
      <c r="A533">
        <f t="shared" si="420"/>
        <v>1595000</v>
      </c>
      <c r="B533">
        <f t="shared" si="456"/>
        <v>1595</v>
      </c>
      <c r="C533">
        <f t="shared" si="425"/>
        <v>1.4157474390455385</v>
      </c>
      <c r="D533">
        <f t="shared" si="426"/>
        <v>0.78648101680568583</v>
      </c>
      <c r="F533">
        <f t="shared" si="427"/>
        <v>5.5097642073102888E-5</v>
      </c>
      <c r="G533">
        <f t="shared" si="428"/>
        <v>4.3081307543480158E-3</v>
      </c>
      <c r="H533">
        <f t="shared" si="429"/>
        <v>-3.137284519245652</v>
      </c>
      <c r="J533">
        <f t="shared" si="430"/>
        <v>15</v>
      </c>
      <c r="M533">
        <f t="shared" si="431"/>
        <v>5.0016873932089275E-4</v>
      </c>
      <c r="N533">
        <f t="shared" si="432"/>
        <v>-1.5707963250000001</v>
      </c>
      <c r="O533">
        <f t="shared" si="433"/>
        <v>180.39302171013603</v>
      </c>
      <c r="P533">
        <f t="shared" si="434"/>
        <v>1.5652528467188189</v>
      </c>
      <c r="Q533">
        <f t="shared" si="435"/>
        <v>189.80925525284437</v>
      </c>
      <c r="R533">
        <f t="shared" si="436"/>
        <v>1.5655278554297114</v>
      </c>
      <c r="S533">
        <f t="shared" si="437"/>
        <v>0.92948014617179375</v>
      </c>
      <c r="T533">
        <f t="shared" si="438"/>
        <v>-0.37779530032800013</v>
      </c>
      <c r="U533">
        <f t="shared" si="439"/>
        <v>0.10474777648527853</v>
      </c>
      <c r="V533">
        <f t="shared" si="440"/>
        <v>-1.4658560478616607</v>
      </c>
      <c r="X533">
        <f t="shared" si="457"/>
        <v>-54.195026982449477</v>
      </c>
      <c r="Y533">
        <f t="shared" si="441"/>
        <v>-150.94403955477719</v>
      </c>
      <c r="Z533">
        <f t="shared" si="458"/>
        <v>29.055960445222809</v>
      </c>
      <c r="AC533">
        <v>1</v>
      </c>
      <c r="AD533">
        <f t="shared" si="442"/>
        <v>180.39024996300003</v>
      </c>
      <c r="AE533">
        <f t="shared" si="443"/>
        <v>-1.8078134600952016</v>
      </c>
      <c r="AF533">
        <f t="shared" si="444"/>
        <v>0.19041193051650002</v>
      </c>
      <c r="AG533">
        <f t="shared" si="421"/>
        <v>9.8475327531013743</v>
      </c>
      <c r="AH533">
        <f t="shared" si="422"/>
        <v>-98.74645043922655</v>
      </c>
      <c r="AJ533">
        <f t="shared" si="445"/>
        <v>10500</v>
      </c>
      <c r="AK533">
        <f t="shared" si="446"/>
        <v>4167.0147741453002</v>
      </c>
      <c r="AL533">
        <v>1</v>
      </c>
      <c r="AM533">
        <f t="shared" si="447"/>
        <v>189.80662101106861</v>
      </c>
      <c r="AN533">
        <f t="shared" si="423"/>
        <v>22.244835377487448</v>
      </c>
      <c r="AO533">
        <f t="shared" si="424"/>
        <v>-55.20226380307092</v>
      </c>
      <c r="AQ533">
        <f t="shared" si="448"/>
        <v>9.8269464896230891E-4</v>
      </c>
      <c r="AR533">
        <f t="shared" si="449"/>
        <v>-3.1347959301897652</v>
      </c>
      <c r="AT533">
        <f t="shared" si="418"/>
        <v>-309.54029383983078</v>
      </c>
      <c r="AU533">
        <f t="shared" si="419"/>
        <v>-30.96704320528325</v>
      </c>
      <c r="AV533">
        <f t="shared" si="459"/>
        <v>-3.0418823751190791</v>
      </c>
      <c r="AW533">
        <f t="shared" si="460"/>
        <v>-143.54958932674512</v>
      </c>
      <c r="AX533">
        <f t="shared" si="461"/>
        <v>-225.10608293812527</v>
      </c>
      <c r="AY533">
        <f t="shared" si="469"/>
        <v>-2.1384743773309829</v>
      </c>
      <c r="BA533">
        <f t="shared" si="450"/>
        <v>1.1651938297033892</v>
      </c>
      <c r="BB533">
        <f t="shared" si="462"/>
        <v>1.3279635230112377</v>
      </c>
      <c r="BC533">
        <f t="shared" si="463"/>
        <v>-0.90340799778809622</v>
      </c>
      <c r="BD533">
        <f t="shared" si="451"/>
        <v>-231.76146551076801</v>
      </c>
      <c r="BF533">
        <f t="shared" si="452"/>
        <v>-57.307835333181643</v>
      </c>
      <c r="BG533">
        <f t="shared" si="453"/>
        <v>-186.45258481905702</v>
      </c>
      <c r="BH533">
        <f t="shared" si="464"/>
        <v>-6.452584819057023</v>
      </c>
      <c r="BI533">
        <f t="shared" si="465"/>
        <v>-6.452584819057023</v>
      </c>
      <c r="BJ533">
        <f t="shared" si="454"/>
        <v>0</v>
      </c>
      <c r="BK533">
        <f t="shared" si="466"/>
        <v>0</v>
      </c>
      <c r="BM533">
        <f t="shared" si="467"/>
        <v>-58.635798856192885</v>
      </c>
      <c r="BN533">
        <f t="shared" si="455"/>
        <v>-134.69111930828902</v>
      </c>
      <c r="BQ533" s="56">
        <f t="shared" si="468"/>
        <v>18.229924323296373</v>
      </c>
    </row>
    <row r="534" spans="1:69" x14ac:dyDescent="0.2">
      <c r="A534">
        <f t="shared" si="420"/>
        <v>1600000</v>
      </c>
      <c r="B534">
        <f t="shared" si="456"/>
        <v>1600</v>
      </c>
      <c r="C534">
        <f t="shared" si="425"/>
        <v>1.4179730210275101</v>
      </c>
      <c r="D534">
        <f t="shared" si="426"/>
        <v>0.78804595178116554</v>
      </c>
      <c r="F534">
        <f t="shared" si="427"/>
        <v>5.4753803841879076E-5</v>
      </c>
      <c r="G534">
        <f t="shared" si="428"/>
        <v>4.2946665054112406E-3</v>
      </c>
      <c r="H534">
        <f t="shared" si="429"/>
        <v>-3.1372979834945891</v>
      </c>
      <c r="J534">
        <f t="shared" si="430"/>
        <v>15</v>
      </c>
      <c r="M534">
        <f t="shared" si="431"/>
        <v>4.9860571201051506E-4</v>
      </c>
      <c r="N534">
        <f t="shared" si="432"/>
        <v>-1.5707963250000001</v>
      </c>
      <c r="O534">
        <f t="shared" si="433"/>
        <v>180.95849972555874</v>
      </c>
      <c r="P534">
        <f t="shared" si="434"/>
        <v>1.5652701697408204</v>
      </c>
      <c r="Q534">
        <f t="shared" si="435"/>
        <v>190.40425210249194</v>
      </c>
      <c r="R534">
        <f t="shared" si="436"/>
        <v>1.5655443190994978</v>
      </c>
      <c r="S534">
        <f t="shared" si="437"/>
        <v>0.92908331741336114</v>
      </c>
      <c r="T534">
        <f t="shared" si="438"/>
        <v>-0.37886963581463001</v>
      </c>
      <c r="U534">
        <f t="shared" si="439"/>
        <v>0.10442401462042133</v>
      </c>
      <c r="V534">
        <f t="shared" si="440"/>
        <v>-1.4661815950753656</v>
      </c>
      <c r="X534">
        <f t="shared" si="457"/>
        <v>-54.239171006134086</v>
      </c>
      <c r="Y534">
        <f t="shared" si="441"/>
        <v>-150.93341836579549</v>
      </c>
      <c r="Z534">
        <f t="shared" si="458"/>
        <v>29.06658163420451</v>
      </c>
      <c r="AC534">
        <v>1</v>
      </c>
      <c r="AD534">
        <f t="shared" si="442"/>
        <v>180.95573664000003</v>
      </c>
      <c r="AE534">
        <f t="shared" si="443"/>
        <v>-1.8191654790513916</v>
      </c>
      <c r="AF534">
        <f t="shared" si="444"/>
        <v>0.19100883312</v>
      </c>
      <c r="AG534">
        <f t="shared" si="421"/>
        <v>9.786751924488895</v>
      </c>
      <c r="AH534">
        <f t="shared" si="422"/>
        <v>-98.444249650259138</v>
      </c>
      <c r="AJ534">
        <f t="shared" si="445"/>
        <v>10500</v>
      </c>
      <c r="AK534">
        <f t="shared" si="446"/>
        <v>4180.0775163840008</v>
      </c>
      <c r="AL534">
        <v>1</v>
      </c>
      <c r="AM534">
        <f t="shared" si="447"/>
        <v>190.40162609260801</v>
      </c>
      <c r="AN534">
        <f t="shared" si="423"/>
        <v>22.243020553744437</v>
      </c>
      <c r="AO534">
        <f t="shared" si="424"/>
        <v>-55.029766260242226</v>
      </c>
      <c r="AQ534">
        <f t="shared" si="448"/>
        <v>9.7656240463257771E-4</v>
      </c>
      <c r="AR534">
        <f t="shared" si="449"/>
        <v>-3.1249996948242487</v>
      </c>
      <c r="AT534">
        <f t="shared" ref="AT534:AT597" si="470">-AR534*AH534+AG534*AQ534</f>
        <v>-307.628692740269</v>
      </c>
      <c r="AU534">
        <f t="shared" ref="AU534:AU597" si="471">AQ534*AH534+AG534*AR534</f>
        <v>-30.679733730509131</v>
      </c>
      <c r="AV534">
        <f t="shared" si="459"/>
        <v>-3.0421915789345109</v>
      </c>
      <c r="AW534">
        <f t="shared" si="460"/>
        <v>-142.51634715548903</v>
      </c>
      <c r="AX534">
        <f t="shared" si="461"/>
        <v>-224.40131842339784</v>
      </c>
      <c r="AY534">
        <f t="shared" si="469"/>
        <v>-2.1366226639721129</v>
      </c>
      <c r="BA534">
        <f t="shared" si="450"/>
        <v>1.1629686878466547</v>
      </c>
      <c r="BB534">
        <f t="shared" si="462"/>
        <v>1.3113604359536526</v>
      </c>
      <c r="BC534">
        <f t="shared" si="463"/>
        <v>-0.905568914962398</v>
      </c>
      <c r="BD534">
        <f t="shared" si="451"/>
        <v>-231.88527694487433</v>
      </c>
      <c r="BF534">
        <f t="shared" si="452"/>
        <v>-57.365169110892118</v>
      </c>
      <c r="BG534">
        <f t="shared" si="453"/>
        <v>-186.48750352839278</v>
      </c>
      <c r="BH534">
        <f t="shared" si="464"/>
        <v>-6.4875035283927787</v>
      </c>
      <c r="BI534">
        <f t="shared" si="465"/>
        <v>-6.4875035283927787</v>
      </c>
      <c r="BJ534">
        <f t="shared" si="454"/>
        <v>0</v>
      </c>
      <c r="BK534">
        <f t="shared" si="466"/>
        <v>0</v>
      </c>
      <c r="BM534">
        <f t="shared" si="467"/>
        <v>-58.676529546845771</v>
      </c>
      <c r="BN534">
        <f t="shared" si="455"/>
        <v>-134.60222658351847</v>
      </c>
      <c r="BQ534" s="56">
        <f t="shared" si="468"/>
        <v>18.213321236238787</v>
      </c>
    </row>
    <row r="535" spans="1:69" x14ac:dyDescent="0.2">
      <c r="A535">
        <f t="shared" si="420"/>
        <v>1605000</v>
      </c>
      <c r="B535">
        <f t="shared" si="456"/>
        <v>1605</v>
      </c>
      <c r="C535">
        <f t="shared" si="425"/>
        <v>1.4202020647670262</v>
      </c>
      <c r="D535">
        <f t="shared" si="426"/>
        <v>0.78960597815565714</v>
      </c>
      <c r="F535">
        <f t="shared" si="427"/>
        <v>5.4413174242628005E-5</v>
      </c>
      <c r="G535">
        <f t="shared" si="428"/>
        <v>4.2812861583446217E-3</v>
      </c>
      <c r="H535">
        <f t="shared" si="429"/>
        <v>-3.1373113638416554</v>
      </c>
      <c r="J535">
        <f t="shared" si="430"/>
        <v>15</v>
      </c>
      <c r="M535">
        <f t="shared" si="431"/>
        <v>4.9705242318805231E-4</v>
      </c>
      <c r="N535">
        <f t="shared" si="432"/>
        <v>-1.5707963250000001</v>
      </c>
      <c r="O535">
        <f t="shared" si="433"/>
        <v>181.52397779494638</v>
      </c>
      <c r="P535">
        <f t="shared" si="434"/>
        <v>1.5652873848345066</v>
      </c>
      <c r="Q535">
        <f t="shared" si="435"/>
        <v>190.99924900342748</v>
      </c>
      <c r="R535">
        <f t="shared" si="436"/>
        <v>1.5655606801947231</v>
      </c>
      <c r="S535">
        <f t="shared" si="437"/>
        <v>0.92868575683803622</v>
      </c>
      <c r="T535">
        <f t="shared" si="438"/>
        <v>-0.37994305310953413</v>
      </c>
      <c r="U535">
        <f t="shared" si="439"/>
        <v>0.10410223706975899</v>
      </c>
      <c r="V535">
        <f t="shared" si="440"/>
        <v>-1.4665051360071955</v>
      </c>
      <c r="X535">
        <f t="shared" si="457"/>
        <v>-54.283156753731859</v>
      </c>
      <c r="Y535">
        <f t="shared" si="441"/>
        <v>-150.92291811264252</v>
      </c>
      <c r="Z535">
        <f t="shared" si="458"/>
        <v>29.07708188735748</v>
      </c>
      <c r="AC535">
        <v>1</v>
      </c>
      <c r="AD535">
        <f t="shared" si="442"/>
        <v>181.52122331700002</v>
      </c>
      <c r="AE535">
        <f t="shared" si="443"/>
        <v>-1.830553028583344</v>
      </c>
      <c r="AF535">
        <f t="shared" si="444"/>
        <v>0.19160573572350001</v>
      </c>
      <c r="AG535">
        <f t="shared" si="421"/>
        <v>9.7265300476143182</v>
      </c>
      <c r="AH535">
        <f t="shared" si="422"/>
        <v>-98.143873226238213</v>
      </c>
      <c r="AJ535">
        <f t="shared" si="445"/>
        <v>10500</v>
      </c>
      <c r="AK535">
        <f t="shared" si="446"/>
        <v>4193.1402586227005</v>
      </c>
      <c r="AL535">
        <v>1</v>
      </c>
      <c r="AM535">
        <f t="shared" si="447"/>
        <v>190.99663117414744</v>
      </c>
      <c r="AN535">
        <f t="shared" si="423"/>
        <v>22.241222663918332</v>
      </c>
      <c r="AO535">
        <f t="shared" si="424"/>
        <v>-54.85834337979837</v>
      </c>
      <c r="AQ535">
        <f t="shared" si="448"/>
        <v>9.7048738167453911E-4</v>
      </c>
      <c r="AR535">
        <f t="shared" si="449"/>
        <v>-3.1152644951752704</v>
      </c>
      <c r="AT535">
        <f t="shared" si="470"/>
        <v>-305.73468420600403</v>
      </c>
      <c r="AU535">
        <f t="shared" si="471"/>
        <v>-30.395961109143045</v>
      </c>
      <c r="AV535">
        <f t="shared" si="459"/>
        <v>-3.0424988782928093</v>
      </c>
      <c r="AW535">
        <f t="shared" si="460"/>
        <v>-141.49275204650428</v>
      </c>
      <c r="AX535">
        <f t="shared" si="461"/>
        <v>-223.70095776164365</v>
      </c>
      <c r="AY535">
        <f t="shared" si="469"/>
        <v>-2.1347767849220345</v>
      </c>
      <c r="BA535">
        <f t="shared" si="450"/>
        <v>1.1607488285399437</v>
      </c>
      <c r="BB535">
        <f t="shared" si="462"/>
        <v>1.2947650807268443</v>
      </c>
      <c r="BC535">
        <f t="shared" si="463"/>
        <v>-0.90772209337077481</v>
      </c>
      <c r="BD535">
        <f t="shared" si="451"/>
        <v>-232.00864498035398</v>
      </c>
      <c r="BF535">
        <f t="shared" si="452"/>
        <v>-57.422325711608082</v>
      </c>
      <c r="BG535">
        <f t="shared" si="453"/>
        <v>-186.52225527399904</v>
      </c>
      <c r="BH535">
        <f t="shared" si="464"/>
        <v>-6.5222552739990363</v>
      </c>
      <c r="BI535">
        <f t="shared" si="465"/>
        <v>-6.5222552739990363</v>
      </c>
      <c r="BJ535">
        <f t="shared" si="454"/>
        <v>0</v>
      </c>
      <c r="BK535">
        <f t="shared" si="466"/>
        <v>0</v>
      </c>
      <c r="BM535">
        <f t="shared" si="467"/>
        <v>-58.717090792334929</v>
      </c>
      <c r="BN535">
        <f t="shared" si="455"/>
        <v>-134.51361029364506</v>
      </c>
      <c r="BQ535" s="56">
        <f t="shared" si="468"/>
        <v>18.196725881011982</v>
      </c>
    </row>
    <row r="536" spans="1:69" x14ac:dyDescent="0.2">
      <c r="A536">
        <f t="shared" si="420"/>
        <v>1610000</v>
      </c>
      <c r="B536">
        <f t="shared" si="456"/>
        <v>1610</v>
      </c>
      <c r="C536">
        <f t="shared" si="425"/>
        <v>1.4224345539897159</v>
      </c>
      <c r="D536">
        <f t="shared" si="426"/>
        <v>0.79116111143001144</v>
      </c>
      <c r="F536">
        <f t="shared" si="427"/>
        <v>5.4075713475460569E-5</v>
      </c>
      <c r="G536">
        <f t="shared" si="428"/>
        <v>4.2679889312995309E-3</v>
      </c>
      <c r="H536">
        <f t="shared" si="429"/>
        <v>-3.1373246610687007</v>
      </c>
      <c r="J536">
        <f t="shared" si="430"/>
        <v>15</v>
      </c>
      <c r="M536">
        <f t="shared" si="431"/>
        <v>4.9550878212225094E-4</v>
      </c>
      <c r="N536">
        <f t="shared" si="432"/>
        <v>-1.5707963250000001</v>
      </c>
      <c r="O536">
        <f t="shared" si="433"/>
        <v>182.08945591779622</v>
      </c>
      <c r="P536">
        <f t="shared" si="434"/>
        <v>1.5653044930053799</v>
      </c>
      <c r="Q536">
        <f t="shared" si="435"/>
        <v>191.59424595517322</v>
      </c>
      <c r="R536">
        <f t="shared" si="436"/>
        <v>1.5655769396710157</v>
      </c>
      <c r="S536">
        <f t="shared" si="437"/>
        <v>0.92828746813156793</v>
      </c>
      <c r="T536">
        <f t="shared" si="438"/>
        <v>-0.38101555091886058</v>
      </c>
      <c r="U536">
        <f t="shared" si="439"/>
        <v>0.1037824257471144</v>
      </c>
      <c r="V536">
        <f t="shared" si="440"/>
        <v>-1.4668266890795292</v>
      </c>
      <c r="X536">
        <f t="shared" si="457"/>
        <v>-54.326985354771587</v>
      </c>
      <c r="Y536">
        <f t="shared" si="441"/>
        <v>-150.91253882100943</v>
      </c>
      <c r="Z536">
        <f t="shared" si="458"/>
        <v>29.087461178990566</v>
      </c>
      <c r="AC536">
        <v>1</v>
      </c>
      <c r="AD536">
        <f t="shared" si="442"/>
        <v>182.08670999400002</v>
      </c>
      <c r="AE536">
        <f t="shared" si="443"/>
        <v>-1.8419761086910593</v>
      </c>
      <c r="AF536">
        <f t="shared" si="444"/>
        <v>0.19220263832699999</v>
      </c>
      <c r="AG536">
        <f t="shared" si="421"/>
        <v>9.6668603147964554</v>
      </c>
      <c r="AH536">
        <f t="shared" si="422"/>
        <v>-97.845304880328356</v>
      </c>
      <c r="AJ536">
        <f t="shared" si="445"/>
        <v>10500</v>
      </c>
      <c r="AK536">
        <f t="shared" si="446"/>
        <v>4206.2030008614001</v>
      </c>
      <c r="AL536">
        <v>1</v>
      </c>
      <c r="AM536">
        <f t="shared" si="447"/>
        <v>191.59163625568681</v>
      </c>
      <c r="AN536">
        <f t="shared" si="423"/>
        <v>22.239441497986487</v>
      </c>
      <c r="AO536">
        <f t="shared" si="424"/>
        <v>-54.687985150453109</v>
      </c>
      <c r="AQ536">
        <f t="shared" si="448"/>
        <v>9.6446887036872903E-4</v>
      </c>
      <c r="AR536">
        <f t="shared" si="449"/>
        <v>-3.1055897625873072</v>
      </c>
      <c r="AT536">
        <f t="shared" si="470"/>
        <v>-303.85805376773379</v>
      </c>
      <c r="AU536">
        <f t="shared" si="471"/>
        <v>-30.115671180662201</v>
      </c>
      <c r="AV536">
        <f t="shared" si="459"/>
        <v>-3.0428042906677155</v>
      </c>
      <c r="AW536">
        <f t="shared" si="460"/>
        <v>-140.47868426092015</v>
      </c>
      <c r="AX536">
        <f t="shared" si="461"/>
        <v>-223.00495975539133</v>
      </c>
      <c r="AY536">
        <f t="shared" si="469"/>
        <v>-2.1329367140906932</v>
      </c>
      <c r="BA536">
        <f t="shared" si="450"/>
        <v>1.1585342571976527</v>
      </c>
      <c r="BB536">
        <f t="shared" si="462"/>
        <v>1.2781776031231007</v>
      </c>
      <c r="BC536">
        <f t="shared" si="463"/>
        <v>-0.90986757657702233</v>
      </c>
      <c r="BD536">
        <f t="shared" si="451"/>
        <v>-232.13157211322863</v>
      </c>
      <c r="BF536">
        <f t="shared" si="452"/>
        <v>-57.479306177080772</v>
      </c>
      <c r="BG536">
        <f t="shared" si="453"/>
        <v>-186.55684170856077</v>
      </c>
      <c r="BH536">
        <f t="shared" si="464"/>
        <v>-6.5568417085607678</v>
      </c>
      <c r="BI536">
        <f t="shared" si="465"/>
        <v>-6.5568417085607678</v>
      </c>
      <c r="BJ536">
        <f t="shared" si="454"/>
        <v>0</v>
      </c>
      <c r="BK536">
        <f t="shared" si="466"/>
        <v>0</v>
      </c>
      <c r="BM536">
        <f t="shared" si="467"/>
        <v>-58.75748378020387</v>
      </c>
      <c r="BN536">
        <f t="shared" si="455"/>
        <v>-134.42526959533217</v>
      </c>
      <c r="BQ536" s="56">
        <f t="shared" si="468"/>
        <v>18.180138403408236</v>
      </c>
    </row>
    <row r="537" spans="1:69" x14ac:dyDescent="0.2">
      <c r="A537">
        <f t="shared" si="420"/>
        <v>1615000</v>
      </c>
      <c r="B537">
        <f t="shared" si="456"/>
        <v>1615</v>
      </c>
      <c r="C537">
        <f t="shared" si="425"/>
        <v>1.4246704724981409</v>
      </c>
      <c r="D537">
        <f t="shared" si="426"/>
        <v>0.79271136710266366</v>
      </c>
      <c r="F537">
        <f t="shared" si="427"/>
        <v>5.3741382355686418E-5</v>
      </c>
      <c r="G537">
        <f t="shared" si="428"/>
        <v>4.254774052112058E-3</v>
      </c>
      <c r="H537">
        <f t="shared" si="429"/>
        <v>-3.137337875947888</v>
      </c>
      <c r="J537">
        <f t="shared" si="430"/>
        <v>15</v>
      </c>
      <c r="M537">
        <f t="shared" si="431"/>
        <v>4.9397469920546382E-4</v>
      </c>
      <c r="N537">
        <f t="shared" si="432"/>
        <v>-1.5707963250000001</v>
      </c>
      <c r="O537">
        <f t="shared" si="433"/>
        <v>182.65493409361176</v>
      </c>
      <c r="P537">
        <f t="shared" si="434"/>
        <v>1.5653214952464916</v>
      </c>
      <c r="Q537">
        <f t="shared" si="435"/>
        <v>192.18924295725716</v>
      </c>
      <c r="R537">
        <f t="shared" si="436"/>
        <v>1.5655930984721709</v>
      </c>
      <c r="S537">
        <f t="shared" si="437"/>
        <v>0.9278884549774008</v>
      </c>
      <c r="T537">
        <f t="shared" si="438"/>
        <v>-0.38208712795943384</v>
      </c>
      <c r="U537">
        <f t="shared" si="439"/>
        <v>0.1034645627842056</v>
      </c>
      <c r="V537">
        <f t="shared" si="440"/>
        <v>-1.4671462724907063</v>
      </c>
      <c r="X537">
        <f t="shared" si="457"/>
        <v>-54.370657928222705</v>
      </c>
      <c r="Y537">
        <f t="shared" si="441"/>
        <v>-150.90228050533739</v>
      </c>
      <c r="Z537">
        <f t="shared" si="458"/>
        <v>29.097719494662613</v>
      </c>
      <c r="AC537">
        <v>1</v>
      </c>
      <c r="AD537">
        <f t="shared" si="442"/>
        <v>182.65219667100001</v>
      </c>
      <c r="AE537">
        <f t="shared" si="443"/>
        <v>-1.8534347193745373</v>
      </c>
      <c r="AF537">
        <f t="shared" si="444"/>
        <v>0.1927995409305</v>
      </c>
      <c r="AG537">
        <f t="shared" si="421"/>
        <v>9.6077360212994147</v>
      </c>
      <c r="AH537">
        <f t="shared" si="422"/>
        <v>-97.548528516680122</v>
      </c>
      <c r="AJ537">
        <f t="shared" si="445"/>
        <v>10500</v>
      </c>
      <c r="AK537">
        <f t="shared" si="446"/>
        <v>4219.2657431001007</v>
      </c>
      <c r="AL537">
        <v>1</v>
      </c>
      <c r="AM537">
        <f t="shared" si="447"/>
        <v>192.18664133722621</v>
      </c>
      <c r="AN537">
        <f t="shared" si="423"/>
        <v>22.237676849172129</v>
      </c>
      <c r="AO537">
        <f t="shared" si="424"/>
        <v>-54.518681684882033</v>
      </c>
      <c r="AQ537">
        <f t="shared" si="448"/>
        <v>9.5850617196501723E-4</v>
      </c>
      <c r="AR537">
        <f t="shared" si="449"/>
        <v>-3.0959749354470056</v>
      </c>
      <c r="AT537">
        <f t="shared" si="470"/>
        <v>-301.99859020310413</v>
      </c>
      <c r="AU537">
        <f t="shared" si="471"/>
        <v>-29.838810774983671</v>
      </c>
      <c r="AV537">
        <f t="shared" si="459"/>
        <v>-3.0431078333206796</v>
      </c>
      <c r="AW537">
        <f t="shared" si="460"/>
        <v>-139.4740259120947</v>
      </c>
      <c r="AX537">
        <f t="shared" si="461"/>
        <v>-222.31328372011345</v>
      </c>
      <c r="AY537">
        <f t="shared" si="469"/>
        <v>-2.1311024254794821</v>
      </c>
      <c r="BA537">
        <f t="shared" si="450"/>
        <v>1.1563249788309256</v>
      </c>
      <c r="BB537">
        <f t="shared" si="462"/>
        <v>1.2615981467131177</v>
      </c>
      <c r="BC537">
        <f t="shared" si="463"/>
        <v>-0.91200540784119744</v>
      </c>
      <c r="BD537">
        <f t="shared" si="451"/>
        <v>-232.25406082211694</v>
      </c>
      <c r="BF537">
        <f t="shared" si="452"/>
        <v>-57.536111540213568</v>
      </c>
      <c r="BG537">
        <f t="shared" si="453"/>
        <v>-186.5912644669435</v>
      </c>
      <c r="BH537">
        <f t="shared" si="464"/>
        <v>-6.5912644669434997</v>
      </c>
      <c r="BI537">
        <f t="shared" si="465"/>
        <v>-6.5912644669434997</v>
      </c>
      <c r="BJ537">
        <f t="shared" si="454"/>
        <v>0</v>
      </c>
      <c r="BK537">
        <f t="shared" si="466"/>
        <v>0</v>
      </c>
      <c r="BM537">
        <f t="shared" si="467"/>
        <v>-58.79770968692668</v>
      </c>
      <c r="BN537">
        <f t="shared" si="455"/>
        <v>-134.33720364482659</v>
      </c>
      <c r="BQ537" s="56">
        <f t="shared" si="468"/>
        <v>18.163558946998254</v>
      </c>
    </row>
    <row r="538" spans="1:69" x14ac:dyDescent="0.2">
      <c r="A538">
        <f t="shared" ref="A538:A591" si="472">A537+5000</f>
        <v>1620000</v>
      </c>
      <c r="B538">
        <f t="shared" si="456"/>
        <v>1620</v>
      </c>
      <c r="C538">
        <f t="shared" si="425"/>
        <v>1.4269098041715838</v>
      </c>
      <c r="D538">
        <f t="shared" si="426"/>
        <v>0.7942567606687605</v>
      </c>
      <c r="F538">
        <f t="shared" si="427"/>
        <v>5.3410142302437749E-5</v>
      </c>
      <c r="G538">
        <f t="shared" si="428"/>
        <v>4.2416407581535058E-3</v>
      </c>
      <c r="H538">
        <f t="shared" si="429"/>
        <v>-3.1373510092418466</v>
      </c>
      <c r="J538">
        <f t="shared" si="430"/>
        <v>15</v>
      </c>
      <c r="M538">
        <f t="shared" si="431"/>
        <v>4.9245008593631109E-4</v>
      </c>
      <c r="N538">
        <f t="shared" si="432"/>
        <v>-1.5707963250000001</v>
      </c>
      <c r="O538">
        <f t="shared" si="433"/>
        <v>183.22041232190259</v>
      </c>
      <c r="P538">
        <f t="shared" si="434"/>
        <v>1.5653383925386337</v>
      </c>
      <c r="Q538">
        <f t="shared" si="435"/>
        <v>192.78424000921331</v>
      </c>
      <c r="R538">
        <f t="shared" si="436"/>
        <v>1.5656091575303319</v>
      </c>
      <c r="S538">
        <f t="shared" si="437"/>
        <v>0.92748872105660607</v>
      </c>
      <c r="T538">
        <f t="shared" si="438"/>
        <v>-0.38315778295873942</v>
      </c>
      <c r="U538">
        <f t="shared" si="439"/>
        <v>0.1031486305273933</v>
      </c>
      <c r="V538">
        <f t="shared" si="440"/>
        <v>-1.4674639042184101</v>
      </c>
      <c r="X538">
        <f t="shared" si="457"/>
        <v>-54.414175582615805</v>
      </c>
      <c r="Y538">
        <f t="shared" si="441"/>
        <v>-150.8921431690479</v>
      </c>
      <c r="Z538">
        <f t="shared" si="458"/>
        <v>29.107856830952102</v>
      </c>
      <c r="AC538">
        <v>1</v>
      </c>
      <c r="AD538">
        <f t="shared" si="442"/>
        <v>183.21768334800001</v>
      </c>
      <c r="AE538">
        <f t="shared" si="443"/>
        <v>-1.8649288606337779</v>
      </c>
      <c r="AF538">
        <f t="shared" si="444"/>
        <v>0.19339644353400001</v>
      </c>
      <c r="AG538">
        <f t="shared" si="421"/>
        <v>9.5491505634771379</v>
      </c>
      <c r="AH538">
        <f t="shared" si="422"/>
        <v>-97.253528227674963</v>
      </c>
      <c r="AJ538">
        <f t="shared" si="445"/>
        <v>10500</v>
      </c>
      <c r="AK538">
        <f t="shared" si="446"/>
        <v>4232.3284853388004</v>
      </c>
      <c r="AL538">
        <v>1</v>
      </c>
      <c r="AM538">
        <f t="shared" si="447"/>
        <v>192.78164641876563</v>
      </c>
      <c r="AN538">
        <f t="shared" si="423"/>
        <v>22.235928513884399</v>
      </c>
      <c r="AO538">
        <f t="shared" si="424"/>
        <v>-54.35042321780999</v>
      </c>
      <c r="AQ538">
        <f t="shared" si="448"/>
        <v>9.5259859847978605E-4</v>
      </c>
      <c r="AR538">
        <f t="shared" si="449"/>
        <v>-3.0864194590745067</v>
      </c>
      <c r="AT538">
        <f t="shared" si="470"/>
        <v>-300.15608547810439</v>
      </c>
      <c r="AU538">
        <f t="shared" si="471"/>
        <v>-29.565327691435023</v>
      </c>
      <c r="AV538">
        <f t="shared" si="459"/>
        <v>-3.043409523304061</v>
      </c>
      <c r="AW538">
        <f t="shared" si="460"/>
        <v>-138.47866093133464</v>
      </c>
      <c r="AX538">
        <f t="shared" si="461"/>
        <v>-221.62588947625608</v>
      </c>
      <c r="AY538">
        <f t="shared" si="469"/>
        <v>-2.1292738931817263</v>
      </c>
      <c r="BA538">
        <f t="shared" si="450"/>
        <v>1.1541209980549296</v>
      </c>
      <c r="BB538">
        <f t="shared" si="462"/>
        <v>1.2450268528738544</v>
      </c>
      <c r="BC538">
        <f t="shared" si="463"/>
        <v>-0.91413563012233467</v>
      </c>
      <c r="BD538">
        <f t="shared" si="451"/>
        <v>-232.37611356839028</v>
      </c>
      <c r="BF538">
        <f t="shared" si="452"/>
        <v>-57.592742825163526</v>
      </c>
      <c r="BG538">
        <f t="shared" si="453"/>
        <v>-186.62552516640747</v>
      </c>
      <c r="BH538">
        <f t="shared" si="464"/>
        <v>-6.6255251664074706</v>
      </c>
      <c r="BI538">
        <f t="shared" si="465"/>
        <v>-6.6255251664074706</v>
      </c>
      <c r="BJ538">
        <f t="shared" si="454"/>
        <v>0</v>
      </c>
      <c r="BK538">
        <f t="shared" si="466"/>
        <v>0</v>
      </c>
      <c r="BM538">
        <f t="shared" si="467"/>
        <v>-58.83776967803739</v>
      </c>
      <c r="BN538">
        <f t="shared" si="455"/>
        <v>-134.24941159801719</v>
      </c>
      <c r="BQ538" s="56">
        <f t="shared" si="468"/>
        <v>18.146987653158991</v>
      </c>
    </row>
    <row r="539" spans="1:69" x14ac:dyDescent="0.2">
      <c r="A539">
        <f t="shared" si="472"/>
        <v>1625000</v>
      </c>
      <c r="B539">
        <f t="shared" si="456"/>
        <v>1625</v>
      </c>
      <c r="C539">
        <f t="shared" si="425"/>
        <v>1.4291525329658328</v>
      </c>
      <c r="D539">
        <f t="shared" si="426"/>
        <v>0.79579730761930167</v>
      </c>
      <c r="F539">
        <f t="shared" si="427"/>
        <v>5.3081955327537796E-5</v>
      </c>
      <c r="G539">
        <f t="shared" si="428"/>
        <v>4.2285882961836489E-3</v>
      </c>
      <c r="H539">
        <f t="shared" si="429"/>
        <v>-3.1373640617038165</v>
      </c>
      <c r="J539">
        <f t="shared" si="430"/>
        <v>15</v>
      </c>
      <c r="M539">
        <f t="shared" si="431"/>
        <v>4.9093485490266098E-4</v>
      </c>
      <c r="N539">
        <f t="shared" si="432"/>
        <v>-1.5707963250000001</v>
      </c>
      <c r="O539">
        <f t="shared" si="433"/>
        <v>183.78589060218428</v>
      </c>
      <c r="P539">
        <f t="shared" si="434"/>
        <v>1.5653551858505277</v>
      </c>
      <c r="Q539">
        <f t="shared" si="435"/>
        <v>193.37923711058127</v>
      </c>
      <c r="R539">
        <f t="shared" si="436"/>
        <v>1.5656251177661706</v>
      </c>
      <c r="S539">
        <f t="shared" si="437"/>
        <v>0.92708827004781169</v>
      </c>
      <c r="T539">
        <f t="shared" si="438"/>
        <v>-0.38422751465490701</v>
      </c>
      <c r="U539">
        <f t="shared" si="439"/>
        <v>0.102834611534486</v>
      </c>
      <c r="V539">
        <f t="shared" si="440"/>
        <v>-1.4677796020229898</v>
      </c>
      <c r="X539">
        <f t="shared" si="457"/>
        <v>-54.457539416161339</v>
      </c>
      <c r="Y539">
        <f t="shared" si="441"/>
        <v>-150.8821268047684</v>
      </c>
      <c r="Z539">
        <f t="shared" si="458"/>
        <v>29.117873195231596</v>
      </c>
      <c r="AC539">
        <v>1</v>
      </c>
      <c r="AD539">
        <f t="shared" si="442"/>
        <v>183.783170025</v>
      </c>
      <c r="AE539">
        <f t="shared" si="443"/>
        <v>-1.8764585324687815</v>
      </c>
      <c r="AF539">
        <f t="shared" si="444"/>
        <v>0.19399334613749999</v>
      </c>
      <c r="AG539">
        <f t="shared" si="421"/>
        <v>9.4910974369566663</v>
      </c>
      <c r="AH539">
        <f t="shared" si="422"/>
        <v>-96.960288291217381</v>
      </c>
      <c r="AJ539">
        <f t="shared" si="445"/>
        <v>10500</v>
      </c>
      <c r="AK539">
        <f t="shared" si="446"/>
        <v>4245.391227577501</v>
      </c>
      <c r="AL539">
        <v>1</v>
      </c>
      <c r="AM539">
        <f t="shared" si="447"/>
        <v>193.376651500305</v>
      </c>
      <c r="AN539">
        <f t="shared" si="423"/>
        <v>22.234196291659611</v>
      </c>
      <c r="AO539">
        <f t="shared" si="424"/>
        <v>-54.18320010413364</v>
      </c>
      <c r="AQ539">
        <f t="shared" si="448"/>
        <v>9.4674547249747011E-4</v>
      </c>
      <c r="AR539">
        <f t="shared" si="449"/>
        <v>-3.0769227856167776</v>
      </c>
      <c r="AT539">
        <f t="shared" si="470"/>
        <v>-298.33033468969091</v>
      </c>
      <c r="AU539">
        <f t="shared" si="471"/>
        <v>-29.295170678232722</v>
      </c>
      <c r="AV539">
        <f t="shared" si="459"/>
        <v>-3.0437093774642734</v>
      </c>
      <c r="AW539">
        <f t="shared" si="460"/>
        <v>-137.49247503435262</v>
      </c>
      <c r="AX539">
        <f t="shared" si="461"/>
        <v>-220.94273734141717</v>
      </c>
      <c r="AY539">
        <f t="shared" si="469"/>
        <v>-2.1274510913831381</v>
      </c>
      <c r="BA539">
        <f t="shared" si="450"/>
        <v>1.1519223190960259</v>
      </c>
      <c r="BB539">
        <f t="shared" si="462"/>
        <v>1.2284638608160652</v>
      </c>
      <c r="BC539">
        <f t="shared" si="463"/>
        <v>-0.91625828608113524</v>
      </c>
      <c r="BD539">
        <f t="shared" si="451"/>
        <v>-232.49773279632683</v>
      </c>
      <c r="BF539">
        <f t="shared" si="452"/>
        <v>-57.649201047441494</v>
      </c>
      <c r="BG539">
        <f t="shared" si="453"/>
        <v>-186.65962540681937</v>
      </c>
      <c r="BH539">
        <f t="shared" si="464"/>
        <v>-6.659625406819373</v>
      </c>
      <c r="BI539">
        <f t="shared" si="465"/>
        <v>-6.659625406819373</v>
      </c>
      <c r="BJ539">
        <f t="shared" si="454"/>
        <v>0</v>
      </c>
      <c r="BK539">
        <f t="shared" si="466"/>
        <v>0</v>
      </c>
      <c r="BM539">
        <f t="shared" si="467"/>
        <v>-58.877664908257557</v>
      </c>
      <c r="BN539">
        <f t="shared" si="455"/>
        <v>-134.16189261049254</v>
      </c>
      <c r="BQ539" s="56">
        <f t="shared" si="468"/>
        <v>18.130424661101202</v>
      </c>
    </row>
    <row r="540" spans="1:69" x14ac:dyDescent="0.2">
      <c r="A540">
        <f t="shared" si="472"/>
        <v>1630000</v>
      </c>
      <c r="B540">
        <f t="shared" si="456"/>
        <v>1630</v>
      </c>
      <c r="C540">
        <f t="shared" si="425"/>
        <v>1.4313986429129664</v>
      </c>
      <c r="D540">
        <f t="shared" si="426"/>
        <v>0.79733302344029433</v>
      </c>
      <c r="F540">
        <f t="shared" si="427"/>
        <v>5.2756784024608088E-5</v>
      </c>
      <c r="G540">
        <f t="shared" si="428"/>
        <v>4.2156159222067006E-3</v>
      </c>
      <c r="H540">
        <f t="shared" si="429"/>
        <v>-3.1373770340777933</v>
      </c>
      <c r="J540">
        <f t="shared" si="430"/>
        <v>15</v>
      </c>
      <c r="M540">
        <f t="shared" si="431"/>
        <v>4.8942891976492273E-4</v>
      </c>
      <c r="N540">
        <f t="shared" si="432"/>
        <v>-1.5707963250000001</v>
      </c>
      <c r="O540">
        <f t="shared" si="433"/>
        <v>184.35136893397848</v>
      </c>
      <c r="P540">
        <f t="shared" si="434"/>
        <v>1.5653718761390092</v>
      </c>
      <c r="Q540">
        <f t="shared" si="435"/>
        <v>193.97423426090637</v>
      </c>
      <c r="R540">
        <f t="shared" si="436"/>
        <v>1.5656409800890625</v>
      </c>
      <c r="S540">
        <f t="shared" si="437"/>
        <v>0.92668710562713463</v>
      </c>
      <c r="T540">
        <f t="shared" si="438"/>
        <v>-0.38529632179669432</v>
      </c>
      <c r="U540">
        <f t="shared" si="439"/>
        <v>0.10252248857160169</v>
      </c>
      <c r="V540">
        <f t="shared" si="440"/>
        <v>-1.468093383450723</v>
      </c>
      <c r="X540">
        <f t="shared" si="457"/>
        <v>-54.500750516866773</v>
      </c>
      <c r="Y540">
        <f t="shared" si="441"/>
        <v>-150.87223139455463</v>
      </c>
      <c r="Z540">
        <f t="shared" si="458"/>
        <v>29.127768605445368</v>
      </c>
      <c r="AC540">
        <v>1</v>
      </c>
      <c r="AD540">
        <f t="shared" si="442"/>
        <v>184.348656702</v>
      </c>
      <c r="AE540">
        <f t="shared" si="443"/>
        <v>-1.8880237348795477</v>
      </c>
      <c r="AF540">
        <f t="shared" si="444"/>
        <v>0.194590248741</v>
      </c>
      <c r="AG540">
        <f t="shared" si="421"/>
        <v>9.4335702348592747</v>
      </c>
      <c r="AH540">
        <f t="shared" si="422"/>
        <v>-96.668793168072654</v>
      </c>
      <c r="AJ540">
        <f t="shared" si="445"/>
        <v>10500</v>
      </c>
      <c r="AK540">
        <f t="shared" si="446"/>
        <v>4258.4539698162007</v>
      </c>
      <c r="AL540">
        <v>1</v>
      </c>
      <c r="AM540">
        <f t="shared" si="447"/>
        <v>193.97165658184443</v>
      </c>
      <c r="AN540">
        <f t="shared" si="423"/>
        <v>22.232479985103776</v>
      </c>
      <c r="AO540">
        <f t="shared" si="424"/>
        <v>-54.01700281707862</v>
      </c>
      <c r="AQ540">
        <f t="shared" si="448"/>
        <v>9.4094612697635143E-4</v>
      </c>
      <c r="AR540">
        <f t="shared" si="449"/>
        <v>-3.0674843739429059</v>
      </c>
      <c r="AT540">
        <f t="shared" si="470"/>
        <v>-296.52113600960558</v>
      </c>
      <c r="AU540">
        <f t="shared" si="471"/>
        <v>-29.028289412454711</v>
      </c>
      <c r="AV540">
        <f t="shared" si="459"/>
        <v>-3.0440074124448704</v>
      </c>
      <c r="AW540">
        <f t="shared" si="460"/>
        <v>-136.51535568844488</v>
      </c>
      <c r="AX540">
        <f t="shared" si="461"/>
        <v>-220.26378812266952</v>
      </c>
      <c r="AY540">
        <f t="shared" si="469"/>
        <v>-2.1256339943622651</v>
      </c>
      <c r="BA540">
        <f t="shared" si="450"/>
        <v>1.1497289457988271</v>
      </c>
      <c r="BB540">
        <f t="shared" si="462"/>
        <v>1.2119093076114607</v>
      </c>
      <c r="BC540">
        <f t="shared" si="463"/>
        <v>-0.91837341808260531</v>
      </c>
      <c r="BD540">
        <f t="shared" si="451"/>
        <v>-232.61892093326261</v>
      </c>
      <c r="BF540">
        <f t="shared" si="452"/>
        <v>-57.705487214010553</v>
      </c>
      <c r="BG540">
        <f t="shared" si="453"/>
        <v>-186.69356677086023</v>
      </c>
      <c r="BH540">
        <f t="shared" si="464"/>
        <v>-6.6935667708602296</v>
      </c>
      <c r="BI540">
        <f t="shared" si="465"/>
        <v>-6.6935667708602296</v>
      </c>
      <c r="BJ540">
        <f t="shared" si="454"/>
        <v>0</v>
      </c>
      <c r="BK540">
        <f t="shared" si="466"/>
        <v>0</v>
      </c>
      <c r="BM540">
        <f t="shared" si="467"/>
        <v>-58.91739652162201</v>
      </c>
      <c r="BN540">
        <f t="shared" si="455"/>
        <v>-134.07464583759761</v>
      </c>
      <c r="BQ540" s="56">
        <f t="shared" si="468"/>
        <v>18.113870107896595</v>
      </c>
    </row>
    <row r="541" spans="1:69" x14ac:dyDescent="0.2">
      <c r="A541">
        <f t="shared" si="472"/>
        <v>1635000</v>
      </c>
      <c r="B541">
        <f t="shared" si="456"/>
        <v>1635</v>
      </c>
      <c r="C541">
        <f t="shared" si="425"/>
        <v>1.4336481181211325</v>
      </c>
      <c r="D541">
        <f t="shared" si="426"/>
        <v>0.79886392361192204</v>
      </c>
      <c r="F541">
        <f t="shared" si="427"/>
        <v>5.2434591558408425E-5</v>
      </c>
      <c r="G541">
        <f t="shared" si="428"/>
        <v>4.2027229013299186E-3</v>
      </c>
      <c r="H541">
        <f t="shared" si="429"/>
        <v>-3.1373899270986705</v>
      </c>
      <c r="J541">
        <f t="shared" si="430"/>
        <v>15</v>
      </c>
      <c r="M541">
        <f t="shared" si="431"/>
        <v>4.8793219523964769E-4</v>
      </c>
      <c r="N541">
        <f t="shared" si="432"/>
        <v>-1.5707963250000001</v>
      </c>
      <c r="O541">
        <f t="shared" si="433"/>
        <v>184.91684731681255</v>
      </c>
      <c r="P541">
        <f t="shared" si="434"/>
        <v>1.5653884643492102</v>
      </c>
      <c r="Q541">
        <f t="shared" si="435"/>
        <v>194.56923145973943</v>
      </c>
      <c r="R541">
        <f t="shared" si="436"/>
        <v>1.5656567453972594</v>
      </c>
      <c r="S541">
        <f t="shared" si="437"/>
        <v>0.92628523146811126</v>
      </c>
      <c r="T541">
        <f t="shared" si="438"/>
        <v>-0.38636420314347031</v>
      </c>
      <c r="U541">
        <f t="shared" si="439"/>
        <v>0.10221224461008506</v>
      </c>
      <c r="V541">
        <f t="shared" si="440"/>
        <v>-1.4684052658370192</v>
      </c>
      <c r="X541">
        <f t="shared" si="457"/>
        <v>-54.543809962652062</v>
      </c>
      <c r="Y541">
        <f t="shared" si="441"/>
        <v>-150.86245691010839</v>
      </c>
      <c r="Z541">
        <f t="shared" si="458"/>
        <v>29.137543089891608</v>
      </c>
      <c r="AC541">
        <v>1</v>
      </c>
      <c r="AD541">
        <f t="shared" si="442"/>
        <v>184.91414337900002</v>
      </c>
      <c r="AE541">
        <f t="shared" si="443"/>
        <v>-1.8996244678660767</v>
      </c>
      <c r="AF541">
        <f t="shared" si="444"/>
        <v>0.19518715134449999</v>
      </c>
      <c r="AG541">
        <f t="shared" si="421"/>
        <v>9.3765626460585061</v>
      </c>
      <c r="AH541">
        <f t="shared" si="422"/>
        <v>-96.379027499249929</v>
      </c>
      <c r="AJ541">
        <f t="shared" si="445"/>
        <v>10500</v>
      </c>
      <c r="AK541">
        <f t="shared" si="446"/>
        <v>4271.5167120549004</v>
      </c>
      <c r="AL541">
        <v>1</v>
      </c>
      <c r="AM541">
        <f t="shared" si="447"/>
        <v>194.56666166338383</v>
      </c>
      <c r="AN541">
        <f t="shared" si="423"/>
        <v>22.230779399836397</v>
      </c>
      <c r="AO541">
        <f t="shared" si="424"/>
        <v>-53.851821946390579</v>
      </c>
      <c r="AQ541">
        <f t="shared" si="448"/>
        <v>9.3519990505850563E-4</v>
      </c>
      <c r="AR541">
        <f t="shared" si="449"/>
        <v>-3.0581036895413134</v>
      </c>
      <c r="AT541">
        <f t="shared" si="470"/>
        <v>-294.72829062936358</v>
      </c>
      <c r="AU541">
        <f t="shared" si="471"/>
        <v>-28.764634480493708</v>
      </c>
      <c r="AV541">
        <f t="shared" si="459"/>
        <v>-3.0443036446895819</v>
      </c>
      <c r="AW541">
        <f t="shared" si="460"/>
        <v>-135.54719208037119</v>
      </c>
      <c r="AX541">
        <f t="shared" si="461"/>
        <v>-219.58900310902635</v>
      </c>
      <c r="AY541">
        <f t="shared" si="469"/>
        <v>-2.1238225764909053</v>
      </c>
      <c r="BA541">
        <f t="shared" si="450"/>
        <v>1.1475408816331469</v>
      </c>
      <c r="BB541">
        <f t="shared" si="462"/>
        <v>1.1953633282195169</v>
      </c>
      <c r="BC541">
        <f t="shared" si="463"/>
        <v>-0.92048106819867659</v>
      </c>
      <c r="BD541">
        <f t="shared" si="451"/>
        <v>-232.73968038974175</v>
      </c>
      <c r="BF541">
        <f t="shared" si="452"/>
        <v>-57.761602323383237</v>
      </c>
      <c r="BG541">
        <f t="shared" si="453"/>
        <v>-186.72735082423128</v>
      </c>
      <c r="BH541">
        <f t="shared" si="464"/>
        <v>-6.7273508242312801</v>
      </c>
      <c r="BI541">
        <f t="shared" si="465"/>
        <v>-6.7273508242312801</v>
      </c>
      <c r="BJ541">
        <f t="shared" si="454"/>
        <v>0</v>
      </c>
      <c r="BK541">
        <f t="shared" si="466"/>
        <v>0</v>
      </c>
      <c r="BM541">
        <f t="shared" si="467"/>
        <v>-58.956965651602751</v>
      </c>
      <c r="BN541">
        <f t="shared" si="455"/>
        <v>-133.98767043448956</v>
      </c>
      <c r="BQ541" s="56">
        <f t="shared" si="468"/>
        <v>18.097324128504656</v>
      </c>
    </row>
    <row r="542" spans="1:69" x14ac:dyDescent="0.2">
      <c r="A542">
        <f t="shared" si="472"/>
        <v>1640000</v>
      </c>
      <c r="B542">
        <f t="shared" si="456"/>
        <v>1640</v>
      </c>
      <c r="C542">
        <f t="shared" si="425"/>
        <v>1.4359009427743281</v>
      </c>
      <c r="D542">
        <f t="shared" si="426"/>
        <v>0.80039002360772671</v>
      </c>
      <c r="F542">
        <f t="shared" si="427"/>
        <v>5.2115341654404148E-5</v>
      </c>
      <c r="G542">
        <f t="shared" si="428"/>
        <v>4.1899085076247998E-3</v>
      </c>
      <c r="H542">
        <f t="shared" si="429"/>
        <v>-3.1374027414923753</v>
      </c>
      <c r="J542">
        <f t="shared" si="430"/>
        <v>15</v>
      </c>
      <c r="M542">
        <f t="shared" si="431"/>
        <v>4.864445970834293E-4</v>
      </c>
      <c r="N542">
        <f t="shared" si="432"/>
        <v>-1.5707963250000001</v>
      </c>
      <c r="O542">
        <f t="shared" si="433"/>
        <v>185.4823257502197</v>
      </c>
      <c r="P542">
        <f t="shared" si="434"/>
        <v>1.5654049514147368</v>
      </c>
      <c r="Q542">
        <f t="shared" si="435"/>
        <v>195.16422870663686</v>
      </c>
      <c r="R542">
        <f t="shared" si="436"/>
        <v>1.5656724145780598</v>
      </c>
      <c r="S542">
        <f t="shared" si="437"/>
        <v>0.92588265124163027</v>
      </c>
      <c r="T542">
        <f t="shared" si="438"/>
        <v>-0.38743115746519802</v>
      </c>
      <c r="U542">
        <f t="shared" si="439"/>
        <v>0.10190386282347876</v>
      </c>
      <c r="V542">
        <f t="shared" si="440"/>
        <v>-1.4687152663095671</v>
      </c>
      <c r="X542">
        <f t="shared" si="457"/>
        <v>-54.586718821463521</v>
      </c>
      <c r="Y542">
        <f t="shared" si="441"/>
        <v>-150.85280331299194</v>
      </c>
      <c r="Z542">
        <f t="shared" si="458"/>
        <v>29.147196687008062</v>
      </c>
      <c r="AC542">
        <v>1</v>
      </c>
      <c r="AD542">
        <f t="shared" si="442"/>
        <v>185.47963005600002</v>
      </c>
      <c r="AE542">
        <f t="shared" si="443"/>
        <v>-1.9112607314283685</v>
      </c>
      <c r="AF542">
        <f t="shared" si="444"/>
        <v>0.195784053948</v>
      </c>
      <c r="AG542">
        <f t="shared" si="421"/>
        <v>9.3200684534743026</v>
      </c>
      <c r="AH542">
        <f t="shared" si="422"/>
        <v>-96.090976103429185</v>
      </c>
      <c r="AJ542">
        <f t="shared" si="445"/>
        <v>10500</v>
      </c>
      <c r="AK542">
        <f t="shared" si="446"/>
        <v>4284.5794542936001</v>
      </c>
      <c r="AL542">
        <v>1</v>
      </c>
      <c r="AM542">
        <f t="shared" si="447"/>
        <v>195.16166674492322</v>
      </c>
      <c r="AN542">
        <f t="shared" si="423"/>
        <v>22.229094344435399</v>
      </c>
      <c r="AO542">
        <f t="shared" si="424"/>
        <v>-53.687648196559195</v>
      </c>
      <c r="AQ542">
        <f t="shared" si="448"/>
        <v>9.2950615988379682E-4</v>
      </c>
      <c r="AR542">
        <f t="shared" si="449"/>
        <v>-3.0487802044188537</v>
      </c>
      <c r="AT542">
        <f t="shared" si="470"/>
        <v>-292.951602706382</v>
      </c>
      <c r="AU542">
        <f t="shared" si="471"/>
        <v>-28.504157358978478</v>
      </c>
      <c r="AV542">
        <f t="shared" si="459"/>
        <v>-3.0445980904452892</v>
      </c>
      <c r="AW542">
        <f t="shared" si="460"/>
        <v>-134.58787508491977</v>
      </c>
      <c r="AX542">
        <f t="shared" si="461"/>
        <v>-218.91834406404547</v>
      </c>
      <c r="AY542">
        <f t="shared" si="469"/>
        <v>-2.1220168122345147</v>
      </c>
      <c r="BA542">
        <f t="shared" si="450"/>
        <v>1.1453581297008457</v>
      </c>
      <c r="BB542">
        <f t="shared" si="462"/>
        <v>1.1788260555139605</v>
      </c>
      <c r="BC542">
        <f t="shared" si="463"/>
        <v>-0.92258127821077451</v>
      </c>
      <c r="BD542">
        <f t="shared" si="451"/>
        <v>-232.86001355966357</v>
      </c>
      <c r="BF542">
        <f t="shared" si="452"/>
        <v>-57.81754736571709</v>
      </c>
      <c r="BG542">
        <f t="shared" si="453"/>
        <v>-186.7609791158558</v>
      </c>
      <c r="BH542">
        <f t="shared" si="464"/>
        <v>-6.7609791158558039</v>
      </c>
      <c r="BI542">
        <f t="shared" si="465"/>
        <v>-6.7609791158558039</v>
      </c>
      <c r="BJ542">
        <f t="shared" si="454"/>
        <v>0</v>
      </c>
      <c r="BK542">
        <f t="shared" si="466"/>
        <v>0</v>
      </c>
      <c r="BM542">
        <f t="shared" si="467"/>
        <v>-58.996373421231041</v>
      </c>
      <c r="BN542">
        <f t="shared" si="455"/>
        <v>-133.90096555619226</v>
      </c>
      <c r="BQ542" s="56">
        <f t="shared" si="468"/>
        <v>18.080786855799097</v>
      </c>
    </row>
    <row r="543" spans="1:69" x14ac:dyDescent="0.2">
      <c r="A543">
        <f t="shared" si="472"/>
        <v>1645000</v>
      </c>
      <c r="B543">
        <f t="shared" si="456"/>
        <v>1645</v>
      </c>
      <c r="C543">
        <f t="shared" si="425"/>
        <v>1.438157101132175</v>
      </c>
      <c r="D543">
        <f t="shared" si="426"/>
        <v>0.80191133889380406</v>
      </c>
      <c r="F543">
        <f t="shared" si="427"/>
        <v>5.1798998588554966E-5</v>
      </c>
      <c r="G543">
        <f t="shared" si="428"/>
        <v>4.1771720239908057E-3</v>
      </c>
      <c r="H543">
        <f t="shared" si="429"/>
        <v>-3.1374154779760093</v>
      </c>
      <c r="J543">
        <f t="shared" si="430"/>
        <v>15</v>
      </c>
      <c r="M543">
        <f t="shared" si="431"/>
        <v>4.8496604207709672E-4</v>
      </c>
      <c r="N543">
        <f t="shared" si="432"/>
        <v>-1.5707963250000001</v>
      </c>
      <c r="O543">
        <f t="shared" si="433"/>
        <v>186.04780423373879</v>
      </c>
      <c r="P543">
        <f t="shared" si="434"/>
        <v>1.5654213382578457</v>
      </c>
      <c r="Q543">
        <f t="shared" si="435"/>
        <v>195.75922600116036</v>
      </c>
      <c r="R543">
        <f t="shared" si="436"/>
        <v>1.5656879885079749</v>
      </c>
      <c r="S543">
        <f t="shared" si="437"/>
        <v>0.92547936861586455</v>
      </c>
      <c r="T543">
        <f t="shared" si="438"/>
        <v>-0.38849718354241802</v>
      </c>
      <c r="U543">
        <f t="shared" si="439"/>
        <v>0.10159732658454805</v>
      </c>
      <c r="V543">
        <f t="shared" si="440"/>
        <v>-1.4690234017914257</v>
      </c>
      <c r="X543">
        <f t="shared" si="457"/>
        <v>-54.629478151386259</v>
      </c>
      <c r="Y543">
        <f t="shared" si="441"/>
        <v>-150.84327055483823</v>
      </c>
      <c r="Z543">
        <f t="shared" si="458"/>
        <v>29.156729445161773</v>
      </c>
      <c r="AC543">
        <v>1</v>
      </c>
      <c r="AD543">
        <f t="shared" si="442"/>
        <v>186.04511673300001</v>
      </c>
      <c r="AE543">
        <f t="shared" si="443"/>
        <v>-1.9229325255664227</v>
      </c>
      <c r="AF543">
        <f t="shared" si="444"/>
        <v>0.19638095655150001</v>
      </c>
      <c r="AG543">
        <f t="shared" si="421"/>
        <v>9.2640815324023489</v>
      </c>
      <c r="AH543">
        <f t="shared" si="422"/>
        <v>-95.804623974431891</v>
      </c>
      <c r="AJ543">
        <f t="shared" si="445"/>
        <v>10500</v>
      </c>
      <c r="AK543">
        <f t="shared" si="446"/>
        <v>4297.6421965322997</v>
      </c>
      <c r="AL543">
        <v>1</v>
      </c>
      <c r="AM543">
        <f t="shared" si="447"/>
        <v>195.75667182646262</v>
      </c>
      <c r="AN543">
        <f t="shared" si="423"/>
        <v>22.227424630383293</v>
      </c>
      <c r="AO543">
        <f t="shared" si="424"/>
        <v>-53.524472385074638</v>
      </c>
      <c r="AQ543">
        <f t="shared" si="448"/>
        <v>9.2386425440782569E-4</v>
      </c>
      <c r="AR543">
        <f t="shared" si="449"/>
        <v>-3.0395133970017465</v>
      </c>
      <c r="AT543">
        <f t="shared" si="470"/>
        <v>-291.19087931122272</v>
      </c>
      <c r="AU543">
        <f t="shared" si="471"/>
        <v>-28.246810396150369</v>
      </c>
      <c r="AV543">
        <f t="shared" si="459"/>
        <v>-3.0448907657649524</v>
      </c>
      <c r="AW543">
        <f t="shared" si="460"/>
        <v>-133.63729723414056</v>
      </c>
      <c r="AX543">
        <f t="shared" si="461"/>
        <v>-218.25177321856978</v>
      </c>
      <c r="AY543">
        <f t="shared" si="469"/>
        <v>-2.1202166761525882</v>
      </c>
      <c r="BA543">
        <f t="shared" si="450"/>
        <v>1.1431806927425678</v>
      </c>
      <c r="BB543">
        <f t="shared" si="462"/>
        <v>1.1622976203088922</v>
      </c>
      <c r="BC543">
        <f t="shared" si="463"/>
        <v>-0.92467408961236419</v>
      </c>
      <c r="BD543">
        <f t="shared" si="451"/>
        <v>-232.97992282042853</v>
      </c>
      <c r="BF543">
        <f t="shared" si="452"/>
        <v>-57.873323322908988</v>
      </c>
      <c r="BG543">
        <f t="shared" si="453"/>
        <v>-186.7944531780791</v>
      </c>
      <c r="BH543">
        <f t="shared" si="464"/>
        <v>-6.7944531780790953</v>
      </c>
      <c r="BI543">
        <f t="shared" si="465"/>
        <v>-6.7944531780790953</v>
      </c>
      <c r="BJ543">
        <f t="shared" si="454"/>
        <v>0</v>
      </c>
      <c r="BK543">
        <f t="shared" si="466"/>
        <v>0</v>
      </c>
      <c r="BM543">
        <f t="shared" si="467"/>
        <v>-59.035620943217886</v>
      </c>
      <c r="BN543">
        <f t="shared" si="455"/>
        <v>-133.81453035765057</v>
      </c>
      <c r="BQ543" s="56">
        <f t="shared" si="468"/>
        <v>18.06425842059403</v>
      </c>
    </row>
    <row r="544" spans="1:69" x14ac:dyDescent="0.2">
      <c r="A544">
        <f t="shared" si="472"/>
        <v>1650000</v>
      </c>
      <c r="B544">
        <f t="shared" si="456"/>
        <v>1650</v>
      </c>
      <c r="C544">
        <f t="shared" si="425"/>
        <v>1.4404165775296935</v>
      </c>
      <c r="D544">
        <f t="shared" si="426"/>
        <v>0.80342788492801243</v>
      </c>
      <c r="F544">
        <f t="shared" si="427"/>
        <v>5.1485527177320195E-5</v>
      </c>
      <c r="G544">
        <f t="shared" si="428"/>
        <v>4.1645127420215679E-3</v>
      </c>
      <c r="H544">
        <f t="shared" si="429"/>
        <v>-3.1374281372579786</v>
      </c>
      <c r="J544">
        <f t="shared" si="430"/>
        <v>15</v>
      </c>
      <c r="M544">
        <f t="shared" si="431"/>
        <v>4.8349644801019636E-4</v>
      </c>
      <c r="N544">
        <f t="shared" si="432"/>
        <v>-1.5707963250000001</v>
      </c>
      <c r="O544">
        <f t="shared" si="433"/>
        <v>186.61328276691427</v>
      </c>
      <c r="P544">
        <f t="shared" si="434"/>
        <v>1.5654376257896143</v>
      </c>
      <c r="Q544">
        <f t="shared" si="435"/>
        <v>196.35422334287696</v>
      </c>
      <c r="R544">
        <f t="shared" si="436"/>
        <v>1.5657034680528912</v>
      </c>
      <c r="S544">
        <f t="shared" si="437"/>
        <v>0.92507538725620408</v>
      </c>
      <c r="T544">
        <f t="shared" si="438"/>
        <v>-0.3895622801662304</v>
      </c>
      <c r="U544">
        <f t="shared" si="439"/>
        <v>0.10129261946235739</v>
      </c>
      <c r="V544">
        <f t="shared" si="440"/>
        <v>-1.4693296890040595</v>
      </c>
      <c r="X544">
        <f t="shared" si="457"/>
        <v>-54.672089000754852</v>
      </c>
      <c r="Y544">
        <f t="shared" si="441"/>
        <v>-150.83385857755783</v>
      </c>
      <c r="Z544">
        <f t="shared" si="458"/>
        <v>29.166141422442166</v>
      </c>
      <c r="AC544">
        <v>1</v>
      </c>
      <c r="AD544">
        <f t="shared" si="442"/>
        <v>186.61060341000001</v>
      </c>
      <c r="AE544">
        <f t="shared" si="443"/>
        <v>-1.9346398502802398</v>
      </c>
      <c r="AF544">
        <f t="shared" si="444"/>
        <v>0.19697785915499999</v>
      </c>
      <c r="AG544">
        <f t="shared" si="421"/>
        <v>9.2085958488777884</v>
      </c>
      <c r="AH544">
        <f t="shared" si="422"/>
        <v>-95.519956278733702</v>
      </c>
      <c r="AJ544">
        <f t="shared" si="445"/>
        <v>10500</v>
      </c>
      <c r="AK544">
        <f t="shared" si="446"/>
        <v>4310.7049387710003</v>
      </c>
      <c r="AL544">
        <v>1</v>
      </c>
      <c r="AM544">
        <f t="shared" si="447"/>
        <v>196.35167690800202</v>
      </c>
      <c r="AN544">
        <f t="shared" si="423"/>
        <v>22.22577007201442</v>
      </c>
      <c r="AO544">
        <f t="shared" si="424"/>
        <v>-53.362285440715681</v>
      </c>
      <c r="AQ544">
        <f t="shared" si="448"/>
        <v>9.1827356122373171E-4</v>
      </c>
      <c r="AR544">
        <f t="shared" si="449"/>
        <v>-3.0303027520383146</v>
      </c>
      <c r="AT544">
        <f t="shared" si="470"/>
        <v>-289.44593037592222</v>
      </c>
      <c r="AU544">
        <f t="shared" si="471"/>
        <v>-27.992546793682969</v>
      </c>
      <c r="AV544">
        <f t="shared" si="459"/>
        <v>-3.0451816865104835</v>
      </c>
      <c r="AW544">
        <f t="shared" si="460"/>
        <v>-132.69535268723124</v>
      </c>
      <c r="AX544">
        <f t="shared" si="461"/>
        <v>-217.58925326360017</v>
      </c>
      <c r="AY544">
        <f t="shared" si="469"/>
        <v>-2.118422142899024</v>
      </c>
      <c r="BA544">
        <f t="shared" si="450"/>
        <v>1.1410085731443811</v>
      </c>
      <c r="BB544">
        <f t="shared" si="462"/>
        <v>1.1457781513846179</v>
      </c>
      <c r="BC544">
        <f t="shared" si="463"/>
        <v>-0.92675954361145951</v>
      </c>
      <c r="BD544">
        <f t="shared" si="451"/>
        <v>-233.09941053308191</v>
      </c>
      <c r="BF544">
        <f t="shared" si="452"/>
        <v>-57.928931168687967</v>
      </c>
      <c r="BG544">
        <f t="shared" si="453"/>
        <v>-186.82777452686508</v>
      </c>
      <c r="BH544">
        <f t="shared" si="464"/>
        <v>-6.8277745268650847</v>
      </c>
      <c r="BI544">
        <f t="shared" si="465"/>
        <v>-6.8277745268650847</v>
      </c>
      <c r="BJ544">
        <f t="shared" si="454"/>
        <v>0</v>
      </c>
      <c r="BK544">
        <f t="shared" si="466"/>
        <v>0</v>
      </c>
      <c r="BM544">
        <f t="shared" si="467"/>
        <v>-59.074709320072586</v>
      </c>
      <c r="BN544">
        <f t="shared" si="455"/>
        <v>-133.72836399378318</v>
      </c>
      <c r="BQ544" s="56">
        <f t="shared" si="468"/>
        <v>18.047738951669754</v>
      </c>
    </row>
    <row r="545" spans="1:69" x14ac:dyDescent="0.2">
      <c r="A545">
        <f t="shared" si="472"/>
        <v>1655000</v>
      </c>
      <c r="B545">
        <f t="shared" si="456"/>
        <v>1655</v>
      </c>
      <c r="C545">
        <f t="shared" si="425"/>
        <v>1.4426793563770732</v>
      </c>
      <c r="D545">
        <f t="shared" si="426"/>
        <v>0.80493967715919446</v>
      </c>
      <c r="F545">
        <f t="shared" si="427"/>
        <v>5.1174892767874982E-5</v>
      </c>
      <c r="G545">
        <f t="shared" si="428"/>
        <v>4.1519299618735257E-3</v>
      </c>
      <c r="H545">
        <f t="shared" si="429"/>
        <v>-3.1374407200381267</v>
      </c>
      <c r="J545">
        <f t="shared" si="430"/>
        <v>15</v>
      </c>
      <c r="M545">
        <f t="shared" si="431"/>
        <v>4.8203573366575474E-4</v>
      </c>
      <c r="N545">
        <f t="shared" si="432"/>
        <v>-1.5707963250000001</v>
      </c>
      <c r="O545">
        <f t="shared" si="433"/>
        <v>187.17876134929605</v>
      </c>
      <c r="P545">
        <f t="shared" si="434"/>
        <v>1.5654538149101112</v>
      </c>
      <c r="Q545">
        <f t="shared" si="435"/>
        <v>196.94922073135893</v>
      </c>
      <c r="R545">
        <f t="shared" si="436"/>
        <v>1.565718854068233</v>
      </c>
      <c r="S545">
        <f t="shared" si="437"/>
        <v>0.92467071082519048</v>
      </c>
      <c r="T545">
        <f t="shared" si="438"/>
        <v>-0.39062644613827774</v>
      </c>
      <c r="U545">
        <f t="shared" si="439"/>
        <v>0.10098972521939804</v>
      </c>
      <c r="V545">
        <f t="shared" si="440"/>
        <v>-1.4696341444703223</v>
      </c>
      <c r="X545">
        <f t="shared" si="457"/>
        <v>-54.714552408262698</v>
      </c>
      <c r="Y545">
        <f t="shared" si="441"/>
        <v>-150.82456731354199</v>
      </c>
      <c r="Z545">
        <f t="shared" si="458"/>
        <v>29.175432686458009</v>
      </c>
      <c r="AC545">
        <v>1</v>
      </c>
      <c r="AD545">
        <f t="shared" si="442"/>
        <v>187.17609008700001</v>
      </c>
      <c r="AE545">
        <f t="shared" si="443"/>
        <v>-1.9463827055698195</v>
      </c>
      <c r="AF545">
        <f t="shared" si="444"/>
        <v>0.19757476175849997</v>
      </c>
      <c r="AG545">
        <f t="shared" si="421"/>
        <v>9.1536054580725814</v>
      </c>
      <c r="AH545">
        <f t="shared" si="422"/>
        <v>-95.236958353019347</v>
      </c>
      <c r="AJ545">
        <f t="shared" si="445"/>
        <v>10500</v>
      </c>
      <c r="AK545">
        <f t="shared" si="446"/>
        <v>4323.7676810097</v>
      </c>
      <c r="AL545">
        <v>1</v>
      </c>
      <c r="AM545">
        <f t="shared" si="447"/>
        <v>196.94668198954142</v>
      </c>
      <c r="AN545">
        <f t="shared" si="423"/>
        <v>22.224130486463345</v>
      </c>
      <c r="AO545">
        <f t="shared" si="424"/>
        <v>-53.201078401868912</v>
      </c>
      <c r="AQ545">
        <f t="shared" si="448"/>
        <v>9.1273346238776002E-4</v>
      </c>
      <c r="AR545">
        <f t="shared" si="449"/>
        <v>-3.0211477605034855</v>
      </c>
      <c r="AT545">
        <f t="shared" si="470"/>
        <v>-287.71656864338507</v>
      </c>
      <c r="AU545">
        <f t="shared" si="471"/>
        <v>-27.741320588933291</v>
      </c>
      <c r="AV545">
        <f t="shared" si="459"/>
        <v>-3.0454708683555705</v>
      </c>
      <c r="AW545">
        <f t="shared" si="460"/>
        <v>-131.76193720105957</v>
      </c>
      <c r="AX545">
        <f t="shared" si="461"/>
        <v>-216.9307473432998</v>
      </c>
      <c r="AY545">
        <f t="shared" si="469"/>
        <v>-2.1166331872224711</v>
      </c>
      <c r="BA545">
        <f t="shared" si="450"/>
        <v>1.1388417729443077</v>
      </c>
      <c r="BB545">
        <f t="shared" si="462"/>
        <v>1.1292677755131011</v>
      </c>
      <c r="BC545">
        <f t="shared" si="463"/>
        <v>-0.92883768113309939</v>
      </c>
      <c r="BD545">
        <f t="shared" si="451"/>
        <v>-233.2184790424557</v>
      </c>
      <c r="BF545">
        <f t="shared" si="452"/>
        <v>-57.984371868706724</v>
      </c>
      <c r="BG545">
        <f t="shared" si="453"/>
        <v>-186.86094466199035</v>
      </c>
      <c r="BH545">
        <f t="shared" si="464"/>
        <v>-6.8609446619903451</v>
      </c>
      <c r="BI545">
        <f t="shared" si="465"/>
        <v>-6.8609446619903451</v>
      </c>
      <c r="BJ545">
        <f t="shared" si="454"/>
        <v>0</v>
      </c>
      <c r="BK545">
        <f t="shared" si="466"/>
        <v>0</v>
      </c>
      <c r="BM545">
        <f t="shared" si="467"/>
        <v>-59.11363964421983</v>
      </c>
      <c r="BN545">
        <f t="shared" si="455"/>
        <v>-133.64246561953465</v>
      </c>
      <c r="BQ545" s="56">
        <f t="shared" si="468"/>
        <v>18.031228575798238</v>
      </c>
    </row>
    <row r="546" spans="1:69" x14ac:dyDescent="0.2">
      <c r="A546">
        <f t="shared" si="472"/>
        <v>1660000</v>
      </c>
      <c r="B546">
        <f t="shared" si="456"/>
        <v>1660</v>
      </c>
      <c r="C546">
        <f t="shared" si="425"/>
        <v>1.4449454221594442</v>
      </c>
      <c r="D546">
        <f t="shared" si="426"/>
        <v>0.80644673102641196</v>
      </c>
      <c r="F546">
        <f t="shared" si="427"/>
        <v>5.0867061228532538E-5</v>
      </c>
      <c r="G546">
        <f t="shared" si="428"/>
        <v>4.1394229921369189E-3</v>
      </c>
      <c r="H546">
        <f t="shared" si="429"/>
        <v>-3.1374532270078634</v>
      </c>
      <c r="J546">
        <f t="shared" si="430"/>
        <v>15</v>
      </c>
      <c r="M546">
        <f t="shared" si="431"/>
        <v>4.8058381880531573E-4</v>
      </c>
      <c r="N546">
        <f t="shared" si="432"/>
        <v>-1.5707963250000001</v>
      </c>
      <c r="O546">
        <f t="shared" si="433"/>
        <v>187.7442399804396</v>
      </c>
      <c r="P546">
        <f t="shared" si="434"/>
        <v>1.5654699065085609</v>
      </c>
      <c r="Q546">
        <f t="shared" si="435"/>
        <v>197.54421816618375</v>
      </c>
      <c r="R546">
        <f t="shared" si="436"/>
        <v>1.5657341473991175</v>
      </c>
      <c r="S546">
        <f t="shared" si="437"/>
        <v>0.92426534298244789</v>
      </c>
      <c r="T546">
        <f t="shared" si="438"/>
        <v>-0.39168968027072709</v>
      </c>
      <c r="U546">
        <f t="shared" si="439"/>
        <v>0.10068862780876589</v>
      </c>
      <c r="V546">
        <f t="shared" si="440"/>
        <v>-1.4699367845173854</v>
      </c>
      <c r="X546">
        <f t="shared" si="457"/>
        <v>-54.756869403069729</v>
      </c>
      <c r="Y546">
        <f t="shared" si="441"/>
        <v>-150.81539668586231</v>
      </c>
      <c r="Z546">
        <f t="shared" si="458"/>
        <v>29.184603314137689</v>
      </c>
      <c r="AC546">
        <v>1</v>
      </c>
      <c r="AD546">
        <f t="shared" si="442"/>
        <v>187.741576764</v>
      </c>
      <c r="AE546">
        <f t="shared" si="443"/>
        <v>-1.9581610914351621</v>
      </c>
      <c r="AF546">
        <f t="shared" si="444"/>
        <v>0.19817166436200001</v>
      </c>
      <c r="AG546">
        <f t="shared" si="421"/>
        <v>9.0991045027256092</v>
      </c>
      <c r="AH546">
        <f t="shared" si="422"/>
        <v>-94.95561570177783</v>
      </c>
      <c r="AJ546">
        <f t="shared" si="445"/>
        <v>10500</v>
      </c>
      <c r="AK546">
        <f t="shared" si="446"/>
        <v>4336.8304232484006</v>
      </c>
      <c r="AL546">
        <v>1</v>
      </c>
      <c r="AM546">
        <f t="shared" si="447"/>
        <v>197.54168707108082</v>
      </c>
      <c r="AN546">
        <f t="shared" si="423"/>
        <v>22.222505693614355</v>
      </c>
      <c r="AO546">
        <f t="shared" si="424"/>
        <v>-53.040842414878227</v>
      </c>
      <c r="AQ546">
        <f t="shared" si="448"/>
        <v>9.0724334924849857E-4</v>
      </c>
      <c r="AR546">
        <f t="shared" si="449"/>
        <v>-3.0120479195050152</v>
      </c>
      <c r="AT546">
        <f t="shared" si="470"/>
        <v>-286.00260961781345</v>
      </c>
      <c r="AU546">
        <f t="shared" si="471"/>
        <v>-27.49308663761262</v>
      </c>
      <c r="AV546">
        <f t="shared" si="459"/>
        <v>-3.0457583267884494</v>
      </c>
      <c r="AW546">
        <f t="shared" si="460"/>
        <v>-130.83694810130675</v>
      </c>
      <c r="AX546">
        <f t="shared" si="461"/>
        <v>-216.27621904812446</v>
      </c>
      <c r="AY546">
        <f t="shared" si="469"/>
        <v>-2.1148497839666587</v>
      </c>
      <c r="BA546">
        <f t="shared" si="450"/>
        <v>1.1366802938387588</v>
      </c>
      <c r="BB546">
        <f t="shared" si="462"/>
        <v>1.1127666174831221</v>
      </c>
      <c r="BC546">
        <f t="shared" si="463"/>
        <v>-0.9309085428217907</v>
      </c>
      <c r="BD546">
        <f t="shared" si="451"/>
        <v>-233.33713067730864</v>
      </c>
      <c r="BF546">
        <f t="shared" si="452"/>
        <v>-58.039646380631808</v>
      </c>
      <c r="BG546">
        <f t="shared" si="453"/>
        <v>-186.8939650672354</v>
      </c>
      <c r="BH546">
        <f t="shared" si="464"/>
        <v>-6.8939650672353991</v>
      </c>
      <c r="BI546">
        <f t="shared" si="465"/>
        <v>-6.8939650672353991</v>
      </c>
      <c r="BJ546">
        <f t="shared" si="454"/>
        <v>0</v>
      </c>
      <c r="BK546">
        <f t="shared" si="466"/>
        <v>0</v>
      </c>
      <c r="BM546">
        <f t="shared" si="467"/>
        <v>-59.152412998114926</v>
      </c>
      <c r="BN546">
        <f t="shared" si="455"/>
        <v>-133.55683438992679</v>
      </c>
      <c r="BQ546" s="56">
        <f t="shared" si="468"/>
        <v>18.01472741776826</v>
      </c>
    </row>
    <row r="547" spans="1:69" x14ac:dyDescent="0.2">
      <c r="A547">
        <f t="shared" si="472"/>
        <v>1665000</v>
      </c>
      <c r="B547">
        <f t="shared" si="456"/>
        <v>1665</v>
      </c>
      <c r="C547">
        <f t="shared" si="425"/>
        <v>1.4472147594366425</v>
      </c>
      <c r="D547">
        <f t="shared" si="426"/>
        <v>0.80794906195819349</v>
      </c>
      <c r="F547">
        <f t="shared" si="427"/>
        <v>5.0561998939367503E-5</v>
      </c>
      <c r="G547">
        <f t="shared" si="428"/>
        <v>4.1269911497091296E-3</v>
      </c>
      <c r="H547">
        <f t="shared" si="429"/>
        <v>-3.1374656588502909</v>
      </c>
      <c r="J547">
        <f t="shared" si="430"/>
        <v>15</v>
      </c>
      <c r="M547">
        <f t="shared" si="431"/>
        <v>4.7914062415424865E-4</v>
      </c>
      <c r="N547">
        <f t="shared" si="432"/>
        <v>-1.5707963250000001</v>
      </c>
      <c r="O547">
        <f t="shared" si="433"/>
        <v>188.3097186599056</v>
      </c>
      <c r="P547">
        <f t="shared" si="434"/>
        <v>1.5654859014635074</v>
      </c>
      <c r="Q547">
        <f t="shared" si="435"/>
        <v>198.13921564693391</v>
      </c>
      <c r="R547">
        <f t="shared" si="436"/>
        <v>1.5657493488805116</v>
      </c>
      <c r="S547">
        <f t="shared" si="437"/>
        <v>0.92385928738462031</v>
      </c>
      <c r="T547">
        <f t="shared" si="438"/>
        <v>-0.39275198138625217</v>
      </c>
      <c r="U547">
        <f t="shared" si="439"/>
        <v>0.1003893113713879</v>
      </c>
      <c r="V547">
        <f t="shared" si="440"/>
        <v>-1.4702376252796172</v>
      </c>
      <c r="X547">
        <f t="shared" si="457"/>
        <v>-54.799041004908815</v>
      </c>
      <c r="Y547">
        <f t="shared" si="441"/>
        <v>-150.80634660846644</v>
      </c>
      <c r="Z547">
        <f t="shared" si="458"/>
        <v>29.193653391533559</v>
      </c>
      <c r="AC547">
        <v>1</v>
      </c>
      <c r="AD547">
        <f t="shared" si="442"/>
        <v>188.30706344100003</v>
      </c>
      <c r="AE547">
        <f t="shared" si="443"/>
        <v>-1.9699750078762674</v>
      </c>
      <c r="AF547">
        <f t="shared" si="444"/>
        <v>0.19876856696549999</v>
      </c>
      <c r="AG547">
        <f t="shared" si="421"/>
        <v>9.0450872116048568</v>
      </c>
      <c r="AH547">
        <f t="shared" si="422"/>
        <v>-94.67591399493827</v>
      </c>
      <c r="AJ547">
        <f t="shared" si="445"/>
        <v>10500</v>
      </c>
      <c r="AK547">
        <f t="shared" si="446"/>
        <v>4349.8931654871003</v>
      </c>
      <c r="AL547">
        <v>1</v>
      </c>
      <c r="AM547">
        <f t="shared" si="447"/>
        <v>198.13669215262021</v>
      </c>
      <c r="AN547">
        <f t="shared" si="423"/>
        <v>22.220895516051954</v>
      </c>
      <c r="AO547">
        <f t="shared" si="424"/>
        <v>-52.881568732424142</v>
      </c>
      <c r="AQ547">
        <f t="shared" si="448"/>
        <v>9.0180262227970113E-4</v>
      </c>
      <c r="AR547">
        <f t="shared" si="449"/>
        <v>-3.0030027321914048</v>
      </c>
      <c r="AT547">
        <f t="shared" si="470"/>
        <v>-284.3038715161519</v>
      </c>
      <c r="AU547">
        <f t="shared" si="471"/>
        <v>-27.247800596866281</v>
      </c>
      <c r="AV547">
        <f t="shared" si="459"/>
        <v>-3.0460440771146295</v>
      </c>
      <c r="AW547">
        <f t="shared" si="460"/>
        <v>-129.92028425421753</v>
      </c>
      <c r="AX547">
        <f t="shared" si="461"/>
        <v>-215.62563240807907</v>
      </c>
      <c r="AY547">
        <f t="shared" si="469"/>
        <v>-2.1130719080707059</v>
      </c>
      <c r="BA547">
        <f t="shared" si="450"/>
        <v>1.1345241371888728</v>
      </c>
      <c r="BB547">
        <f t="shared" si="462"/>
        <v>1.0962748001251386</v>
      </c>
      <c r="BC547">
        <f t="shared" si="463"/>
        <v>-0.93297216904392366</v>
      </c>
      <c r="BD547">
        <f t="shared" si="451"/>
        <v>-233.45536775046449</v>
      </c>
      <c r="BF547">
        <f t="shared" si="452"/>
        <v>-58.094755654232458</v>
      </c>
      <c r="BG547">
        <f t="shared" si="453"/>
        <v>-186.92683721057335</v>
      </c>
      <c r="BH547">
        <f t="shared" si="464"/>
        <v>-6.9268372105733533</v>
      </c>
      <c r="BI547">
        <f t="shared" si="465"/>
        <v>-6.9268372105733533</v>
      </c>
      <c r="BJ547">
        <f t="shared" si="454"/>
        <v>0</v>
      </c>
      <c r="BK547">
        <f t="shared" si="466"/>
        <v>0</v>
      </c>
      <c r="BM547">
        <f t="shared" si="467"/>
        <v>-59.191030454357602</v>
      </c>
      <c r="BN547">
        <f t="shared" si="455"/>
        <v>-133.47146946010889</v>
      </c>
      <c r="BQ547" s="56">
        <f t="shared" si="468"/>
        <v>17.998235600410275</v>
      </c>
    </row>
    <row r="548" spans="1:69" x14ac:dyDescent="0.2">
      <c r="A548">
        <f t="shared" si="472"/>
        <v>1670000</v>
      </c>
      <c r="B548">
        <f t="shared" si="456"/>
        <v>1670</v>
      </c>
      <c r="C548">
        <f t="shared" si="425"/>
        <v>1.4494873528429773</v>
      </c>
      <c r="D548">
        <f t="shared" si="426"/>
        <v>0.80944668537179509</v>
      </c>
      <c r="F548">
        <f t="shared" si="427"/>
        <v>5.0259672783035406E-5</v>
      </c>
      <c r="G548">
        <f t="shared" si="428"/>
        <v>4.1146337596702906E-3</v>
      </c>
      <c r="H548">
        <f t="shared" si="429"/>
        <v>-3.1374780162403297</v>
      </c>
      <c r="J548">
        <f t="shared" si="430"/>
        <v>15</v>
      </c>
      <c r="M548">
        <f t="shared" si="431"/>
        <v>4.7770607138731983E-4</v>
      </c>
      <c r="N548">
        <f t="shared" si="432"/>
        <v>-1.5707963250000001</v>
      </c>
      <c r="O548">
        <f t="shared" si="433"/>
        <v>188.87519738725999</v>
      </c>
      <c r="P548">
        <f t="shared" si="434"/>
        <v>1.5655018006429735</v>
      </c>
      <c r="Q548">
        <f t="shared" si="435"/>
        <v>198.73421317319693</v>
      </c>
      <c r="R548">
        <f t="shared" si="436"/>
        <v>1.5657644593373827</v>
      </c>
      <c r="S548">
        <f t="shared" si="437"/>
        <v>0.92345254768530405</v>
      </c>
      <c r="T548">
        <f t="shared" si="438"/>
        <v>-0.39381334831801523</v>
      </c>
      <c r="U548">
        <f t="shared" si="439"/>
        <v>0.10009176023329695</v>
      </c>
      <c r="V548">
        <f t="shared" si="440"/>
        <v>-1.4705366827014099</v>
      </c>
      <c r="X548">
        <f t="shared" si="457"/>
        <v>-54.841068224190586</v>
      </c>
      <c r="Y548">
        <f t="shared" si="441"/>
        <v>-150.79741698637108</v>
      </c>
      <c r="Z548">
        <f t="shared" si="458"/>
        <v>29.202583013628924</v>
      </c>
      <c r="AC548">
        <v>1</v>
      </c>
      <c r="AD548">
        <f t="shared" si="442"/>
        <v>188.87255011800002</v>
      </c>
      <c r="AE548">
        <f t="shared" si="443"/>
        <v>-1.9818244548931354</v>
      </c>
      <c r="AF548">
        <f t="shared" si="444"/>
        <v>0.19936546956899998</v>
      </c>
      <c r="AG548">
        <f t="shared" si="421"/>
        <v>8.9915478980009222</v>
      </c>
      <c r="AH548">
        <f t="shared" si="422"/>
        <v>-94.397839065544645</v>
      </c>
      <c r="AJ548">
        <f t="shared" si="445"/>
        <v>10500</v>
      </c>
      <c r="AK548">
        <f t="shared" si="446"/>
        <v>4362.9559077258009</v>
      </c>
      <c r="AL548">
        <v>1</v>
      </c>
      <c r="AM548">
        <f t="shared" si="447"/>
        <v>198.73169723415964</v>
      </c>
      <c r="AN548">
        <f t="shared" si="423"/>
        <v>22.219299779012452</v>
      </c>
      <c r="AO548">
        <f t="shared" si="424"/>
        <v>-52.723248711932101</v>
      </c>
      <c r="AQ548">
        <f t="shared" si="448"/>
        <v>8.9641069091660772E-4</v>
      </c>
      <c r="AR548">
        <f t="shared" si="449"/>
        <v>-2.9940117076614698</v>
      </c>
      <c r="AT548">
        <f t="shared" si="470"/>
        <v>-282.62017522052031</v>
      </c>
      <c r="AU548">
        <f t="shared" si="471"/>
        <v>-27.00541890875142</v>
      </c>
      <c r="AV548">
        <f t="shared" si="459"/>
        <v>-3.046328134459571</v>
      </c>
      <c r="AW548">
        <f t="shared" si="460"/>
        <v>-129.01184603894157</v>
      </c>
      <c r="AX548">
        <f t="shared" si="461"/>
        <v>-214.9789518860951</v>
      </c>
      <c r="AY548">
        <f t="shared" si="469"/>
        <v>-2.111299534569417</v>
      </c>
      <c r="BA548">
        <f t="shared" si="450"/>
        <v>1.1323733040267494</v>
      </c>
      <c r="BB548">
        <f t="shared" si="462"/>
        <v>1.0797924443357807</v>
      </c>
      <c r="BC548">
        <f t="shared" si="463"/>
        <v>-0.93502859989015397</v>
      </c>
      <c r="BD548">
        <f t="shared" si="451"/>
        <v>-233.57319255894862</v>
      </c>
      <c r="BF548">
        <f t="shared" si="452"/>
        <v>-58.149700631468207</v>
      </c>
      <c r="BG548">
        <f t="shared" si="453"/>
        <v>-186.95956254435592</v>
      </c>
      <c r="BH548">
        <f t="shared" si="464"/>
        <v>-6.9595625443559186</v>
      </c>
      <c r="BI548">
        <f t="shared" si="465"/>
        <v>-6.9595625443559186</v>
      </c>
      <c r="BJ548">
        <f t="shared" si="454"/>
        <v>0</v>
      </c>
      <c r="BK548">
        <f t="shared" si="466"/>
        <v>0</v>
      </c>
      <c r="BM548">
        <f t="shared" si="467"/>
        <v>-59.229493075803994</v>
      </c>
      <c r="BN548">
        <f t="shared" si="455"/>
        <v>-133.3863699854073</v>
      </c>
      <c r="BQ548" s="56">
        <f t="shared" si="468"/>
        <v>17.981753244620919</v>
      </c>
    </row>
    <row r="549" spans="1:69" x14ac:dyDescent="0.2">
      <c r="A549">
        <f t="shared" si="472"/>
        <v>1675000</v>
      </c>
      <c r="B549">
        <f t="shared" si="456"/>
        <v>1675</v>
      </c>
      <c r="C549">
        <f t="shared" si="425"/>
        <v>1.451763187086992</v>
      </c>
      <c r="D549">
        <f t="shared" si="426"/>
        <v>0.81093961667247239</v>
      </c>
      <c r="F549">
        <f t="shared" si="427"/>
        <v>4.996005013578386E-5</v>
      </c>
      <c r="G549">
        <f t="shared" si="428"/>
        <v>4.1023501551611108E-3</v>
      </c>
      <c r="H549">
        <f t="shared" si="429"/>
        <v>-3.1374902998448393</v>
      </c>
      <c r="J549">
        <f t="shared" si="430"/>
        <v>15</v>
      </c>
      <c r="M549">
        <f t="shared" si="431"/>
        <v>4.7628008311452176E-4</v>
      </c>
      <c r="N549">
        <f t="shared" si="432"/>
        <v>-1.5707963250000001</v>
      </c>
      <c r="O549">
        <f t="shared" si="433"/>
        <v>189.44067616207394</v>
      </c>
      <c r="P549">
        <f t="shared" si="434"/>
        <v>1.5655176049046182</v>
      </c>
      <c r="Q549">
        <f t="shared" si="435"/>
        <v>199.32921074456519</v>
      </c>
      <c r="R549">
        <f t="shared" si="436"/>
        <v>1.5657794795848485</v>
      </c>
      <c r="S549">
        <f t="shared" si="437"/>
        <v>0.92304512753498247</v>
      </c>
      <c r="T549">
        <f t="shared" si="438"/>
        <v>-0.39487377990964873</v>
      </c>
      <c r="U549">
        <f t="shared" si="439"/>
        <v>9.9795958902953411E-2</v>
      </c>
      <c r="V549">
        <f t="shared" si="440"/>
        <v>-1.4708339725399584</v>
      </c>
      <c r="X549">
        <f t="shared" si="457"/>
        <v>-54.882952062106909</v>
      </c>
      <c r="Y549">
        <f t="shared" si="441"/>
        <v>-150.78860771585113</v>
      </c>
      <c r="Z549">
        <f t="shared" si="458"/>
        <v>29.211392284148872</v>
      </c>
      <c r="AC549">
        <v>1</v>
      </c>
      <c r="AD549">
        <f t="shared" si="442"/>
        <v>189.43803679500002</v>
      </c>
      <c r="AE549">
        <f t="shared" si="443"/>
        <v>-1.9937094324857658</v>
      </c>
      <c r="AF549">
        <f t="shared" si="444"/>
        <v>0.19996237217250001</v>
      </c>
      <c r="AG549">
        <f t="shared" si="421"/>
        <v>8.9384809582510449</v>
      </c>
      <c r="AH549">
        <f t="shared" si="422"/>
        <v>-94.121376907469269</v>
      </c>
      <c r="AJ549">
        <f t="shared" si="445"/>
        <v>10500</v>
      </c>
      <c r="AK549">
        <f t="shared" si="446"/>
        <v>4376.0186499645006</v>
      </c>
      <c r="AL549">
        <v>1</v>
      </c>
      <c r="AM549">
        <f t="shared" si="447"/>
        <v>199.32670231569901</v>
      </c>
      <c r="AN549">
        <f t="shared" si="423"/>
        <v>22.217718310336558</v>
      </c>
      <c r="AO549">
        <f t="shared" si="424"/>
        <v>-52.565873814009471</v>
      </c>
      <c r="AQ549">
        <f t="shared" si="448"/>
        <v>8.9106697339568072E-4</v>
      </c>
      <c r="AR549">
        <f t="shared" si="449"/>
        <v>-2.9850743608755304</v>
      </c>
      <c r="AT549">
        <f t="shared" si="470"/>
        <v>-280.95134423161448</v>
      </c>
      <c r="AU549">
        <f t="shared" si="471"/>
        <v>-26.765898784102109</v>
      </c>
      <c r="AV549">
        <f t="shared" si="459"/>
        <v>-3.0466105137713133</v>
      </c>
      <c r="AW549">
        <f t="shared" si="460"/>
        <v>-128.11153532045302</v>
      </c>
      <c r="AX549">
        <f t="shared" si="461"/>
        <v>-214.3361423715283</v>
      </c>
      <c r="AY549">
        <f t="shared" si="469"/>
        <v>-2.10953263859356</v>
      </c>
      <c r="BA549">
        <f t="shared" si="450"/>
        <v>1.1302277950615933</v>
      </c>
      <c r="BB549">
        <f t="shared" si="462"/>
        <v>1.0633196691020781</v>
      </c>
      <c r="BC549">
        <f t="shared" si="463"/>
        <v>-0.93707787517775332</v>
      </c>
      <c r="BD549">
        <f t="shared" si="451"/>
        <v>-233.6906073841227</v>
      </c>
      <c r="BF549">
        <f t="shared" si="452"/>
        <v>-58.204482246575182</v>
      </c>
      <c r="BG549">
        <f t="shared" si="453"/>
        <v>-186.99214250549687</v>
      </c>
      <c r="BH549">
        <f t="shared" si="464"/>
        <v>-6.9921425054968722</v>
      </c>
      <c r="BI549">
        <f t="shared" si="465"/>
        <v>-6.9921425054968722</v>
      </c>
      <c r="BJ549">
        <f t="shared" si="454"/>
        <v>0</v>
      </c>
      <c r="BK549">
        <f t="shared" si="466"/>
        <v>0</v>
      </c>
      <c r="BM549">
        <f t="shared" si="467"/>
        <v>-59.267801915677261</v>
      </c>
      <c r="BN549">
        <f t="shared" si="455"/>
        <v>-133.30153512137417</v>
      </c>
      <c r="BQ549" s="56">
        <f t="shared" si="468"/>
        <v>17.965280469387213</v>
      </c>
    </row>
    <row r="550" spans="1:69" x14ac:dyDescent="0.2">
      <c r="A550">
        <f t="shared" si="472"/>
        <v>1680000</v>
      </c>
      <c r="B550">
        <f t="shared" si="456"/>
        <v>1680</v>
      </c>
      <c r="C550">
        <f t="shared" si="425"/>
        <v>1.4540422469512284</v>
      </c>
      <c r="D550">
        <f t="shared" si="426"/>
        <v>0.81242787125276683</v>
      </c>
      <c r="F550">
        <f t="shared" si="427"/>
        <v>4.9663098858650638E-5</v>
      </c>
      <c r="G550">
        <f t="shared" si="428"/>
        <v>4.0901396772629042E-3</v>
      </c>
      <c r="H550">
        <f t="shared" si="429"/>
        <v>-3.1375025103227374</v>
      </c>
      <c r="J550">
        <f t="shared" si="430"/>
        <v>15</v>
      </c>
      <c r="M550">
        <f t="shared" si="431"/>
        <v>4.7486258286715715E-4</v>
      </c>
      <c r="N550">
        <f t="shared" si="432"/>
        <v>-1.5707963250000001</v>
      </c>
      <c r="O550">
        <f t="shared" si="433"/>
        <v>190.00615498392375</v>
      </c>
      <c r="P550">
        <f t="shared" si="434"/>
        <v>1.5655333150958903</v>
      </c>
      <c r="Q550">
        <f t="shared" si="435"/>
        <v>199.92420836063604</v>
      </c>
      <c r="R550">
        <f t="shared" si="436"/>
        <v>1.5657944104283228</v>
      </c>
      <c r="S550">
        <f t="shared" si="437"/>
        <v>0.92263703058096336</v>
      </c>
      <c r="T550">
        <f t="shared" si="438"/>
        <v>-0.39593327501523651</v>
      </c>
      <c r="U550">
        <f t="shared" si="439"/>
        <v>9.950189206861311E-2</v>
      </c>
      <c r="V550">
        <f t="shared" si="440"/>
        <v>-1.4711295103679904</v>
      </c>
      <c r="X550">
        <f t="shared" si="457"/>
        <v>-54.924693510732958</v>
      </c>
      <c r="Y550">
        <f t="shared" si="441"/>
        <v>-150.77991868462553</v>
      </c>
      <c r="Z550">
        <f t="shared" si="458"/>
        <v>29.220081315374472</v>
      </c>
      <c r="AC550">
        <v>1</v>
      </c>
      <c r="AD550">
        <f t="shared" si="442"/>
        <v>190.00352347200001</v>
      </c>
      <c r="AE550">
        <f t="shared" si="443"/>
        <v>-2.0056299406541593</v>
      </c>
      <c r="AF550">
        <f t="shared" si="444"/>
        <v>0.200559274776</v>
      </c>
      <c r="AG550">
        <f t="shared" si="421"/>
        <v>8.8858808702930521</v>
      </c>
      <c r="AH550">
        <f t="shared" si="422"/>
        <v>-93.846513673164225</v>
      </c>
      <c r="AJ550">
        <f t="shared" si="445"/>
        <v>10500</v>
      </c>
      <c r="AK550">
        <f t="shared" si="446"/>
        <v>4389.0813922032012</v>
      </c>
      <c r="AL550">
        <v>1</v>
      </c>
      <c r="AM550">
        <f t="shared" si="447"/>
        <v>199.92170739723841</v>
      </c>
      <c r="AN550">
        <f t="shared" si="423"/>
        <v>22.216150940422907</v>
      </c>
      <c r="AO550">
        <f t="shared" si="424"/>
        <v>-52.409435600910186</v>
      </c>
      <c r="AQ550">
        <f t="shared" si="448"/>
        <v>8.8577089659767428E-4</v>
      </c>
      <c r="AR550">
        <f t="shared" si="449"/>
        <v>-2.9761902125681856</v>
      </c>
      <c r="AT550">
        <f t="shared" si="470"/>
        <v>-279.29720462305221</v>
      </c>
      <c r="AU550">
        <f t="shared" si="471"/>
        <v>-26.529198186771897</v>
      </c>
      <c r="AV550">
        <f t="shared" si="459"/>
        <v>-3.0468912298230615</v>
      </c>
      <c r="AW550">
        <f t="shared" si="460"/>
        <v>-127.2192554230334</v>
      </c>
      <c r="AX550">
        <f t="shared" si="461"/>
        <v>-213.6971691737732</v>
      </c>
      <c r="AY550">
        <f t="shared" si="469"/>
        <v>-2.1077711953701241</v>
      </c>
      <c r="BA550">
        <f t="shared" si="450"/>
        <v>1.1280876106857629</v>
      </c>
      <c r="BB550">
        <f t="shared" si="462"/>
        <v>1.0468565915253814</v>
      </c>
      <c r="BC550">
        <f t="shared" si="463"/>
        <v>-0.93912003445293735</v>
      </c>
      <c r="BD550">
        <f t="shared" si="451"/>
        <v>-233.80761449181793</v>
      </c>
      <c r="BF550">
        <f t="shared" si="452"/>
        <v>-58.259101426151148</v>
      </c>
      <c r="BG550">
        <f t="shared" si="453"/>
        <v>-187.02457851565299</v>
      </c>
      <c r="BH550">
        <f t="shared" si="464"/>
        <v>-7.0245785156529905</v>
      </c>
      <c r="BI550">
        <f t="shared" si="465"/>
        <v>-7.0245785156529905</v>
      </c>
      <c r="BJ550">
        <f t="shared" si="454"/>
        <v>0</v>
      </c>
      <c r="BK550">
        <f t="shared" si="466"/>
        <v>0</v>
      </c>
      <c r="BM550">
        <f t="shared" si="467"/>
        <v>-59.305958017676531</v>
      </c>
      <c r="BN550">
        <f t="shared" si="455"/>
        <v>-133.21696402383506</v>
      </c>
      <c r="BQ550" s="56">
        <f t="shared" si="468"/>
        <v>17.948817391810518</v>
      </c>
    </row>
    <row r="551" spans="1:69" x14ac:dyDescent="0.2">
      <c r="A551">
        <f t="shared" si="472"/>
        <v>1685000</v>
      </c>
      <c r="B551">
        <f t="shared" si="456"/>
        <v>1685</v>
      </c>
      <c r="C551">
        <f t="shared" si="425"/>
        <v>1.4563245172919841</v>
      </c>
      <c r="D551">
        <f t="shared" si="426"/>
        <v>0.81391146449180274</v>
      </c>
      <c r="F551">
        <f t="shared" si="427"/>
        <v>4.9368787288844407E-5</v>
      </c>
      <c r="G551">
        <f t="shared" si="428"/>
        <v>4.0780016748797367E-3</v>
      </c>
      <c r="H551">
        <f t="shared" si="429"/>
        <v>-3.1375146483251206</v>
      </c>
      <c r="J551">
        <f t="shared" si="430"/>
        <v>15</v>
      </c>
      <c r="M551">
        <f t="shared" si="431"/>
        <v>4.7345349508416858E-4</v>
      </c>
      <c r="N551">
        <f t="shared" si="432"/>
        <v>-1.5707963250000001</v>
      </c>
      <c r="O551">
        <f t="shared" si="433"/>
        <v>190.57163385239068</v>
      </c>
      <c r="P551">
        <f t="shared" si="434"/>
        <v>1.5655489320541807</v>
      </c>
      <c r="Q551">
        <f t="shared" si="435"/>
        <v>200.51920602101148</v>
      </c>
      <c r="R551">
        <f t="shared" si="436"/>
        <v>1.5658092526636602</v>
      </c>
      <c r="S551">
        <f t="shared" si="437"/>
        <v>0.92222826046731221</v>
      </c>
      <c r="T551">
        <f t="shared" si="438"/>
        <v>-0.3969918324992957</v>
      </c>
      <c r="U551">
        <f t="shared" si="439"/>
        <v>9.9209544595740204E-2</v>
      </c>
      <c r="V551">
        <f t="shared" si="440"/>
        <v>-1.4714233115764477</v>
      </c>
      <c r="X551">
        <f t="shared" si="457"/>
        <v>-54.966293553127898</v>
      </c>
      <c r="Y551">
        <f t="shared" si="441"/>
        <v>-150.77134977203985</v>
      </c>
      <c r="Z551">
        <f t="shared" si="458"/>
        <v>29.228650227960145</v>
      </c>
      <c r="AC551">
        <v>1</v>
      </c>
      <c r="AD551">
        <f t="shared" si="442"/>
        <v>190.56901014900004</v>
      </c>
      <c r="AE551">
        <f t="shared" si="443"/>
        <v>-2.0175859793983157</v>
      </c>
      <c r="AF551">
        <f t="shared" si="444"/>
        <v>0.20115617737949998</v>
      </c>
      <c r="AG551">
        <f t="shared" si="421"/>
        <v>8.83374219224849</v>
      </c>
      <c r="AH551">
        <f t="shared" si="422"/>
        <v>-93.573235671449737</v>
      </c>
      <c r="AJ551">
        <f t="shared" si="445"/>
        <v>10500</v>
      </c>
      <c r="AK551">
        <f t="shared" si="446"/>
        <v>4402.1441344419009</v>
      </c>
      <c r="AL551">
        <v>1</v>
      </c>
      <c r="AM551">
        <f t="shared" si="447"/>
        <v>200.51671247877783</v>
      </c>
      <c r="AN551">
        <f t="shared" si="423"/>
        <v>22.214597502182617</v>
      </c>
      <c r="AO551">
        <f t="shared" si="424"/>
        <v>-52.253925735026996</v>
      </c>
      <c r="AQ551">
        <f t="shared" si="448"/>
        <v>8.8052189589395906E-4</v>
      </c>
      <c r="AR551">
        <f t="shared" si="449"/>
        <v>-2.9673587891626423</v>
      </c>
      <c r="AT551">
        <f t="shared" si="470"/>
        <v>-277.65758499664065</v>
      </c>
      <c r="AU551">
        <f t="shared" si="471"/>
        <v>-26.29527581824378</v>
      </c>
      <c r="AV551">
        <f t="shared" si="459"/>
        <v>-3.0471702972157253</v>
      </c>
      <c r="AW551">
        <f t="shared" si="460"/>
        <v>-126.33491110430572</v>
      </c>
      <c r="AX551">
        <f t="shared" si="461"/>
        <v>-213.061998015992</v>
      </c>
      <c r="AY551">
        <f t="shared" si="469"/>
        <v>-2.1060151802225708</v>
      </c>
      <c r="BA551">
        <f t="shared" si="450"/>
        <v>1.1259527509807234</v>
      </c>
      <c r="BB551">
        <f t="shared" si="462"/>
        <v>1.0304033268449622</v>
      </c>
      <c r="BC551">
        <f t="shared" si="463"/>
        <v>-0.94115511699315446</v>
      </c>
      <c r="BD551">
        <f t="shared" si="451"/>
        <v>-233.92421613246637</v>
      </c>
      <c r="BF551">
        <f t="shared" si="452"/>
        <v>-58.313559089239405</v>
      </c>
      <c r="BG551">
        <f t="shared" si="453"/>
        <v>-187.05687198140248</v>
      </c>
      <c r="BH551">
        <f t="shared" si="464"/>
        <v>-7.0568719814024803</v>
      </c>
      <c r="BI551">
        <f t="shared" si="465"/>
        <v>-7.0568719814024803</v>
      </c>
      <c r="BJ551">
        <f t="shared" si="454"/>
        <v>0</v>
      </c>
      <c r="BK551">
        <f t="shared" si="466"/>
        <v>0</v>
      </c>
      <c r="BM551">
        <f t="shared" si="467"/>
        <v>-59.343962416084381</v>
      </c>
      <c r="BN551">
        <f t="shared" si="455"/>
        <v>-133.13265584893611</v>
      </c>
      <c r="BQ551" s="56">
        <f t="shared" si="468"/>
        <v>17.9323641271301</v>
      </c>
    </row>
    <row r="552" spans="1:69" x14ac:dyDescent="0.2">
      <c r="A552">
        <f t="shared" si="472"/>
        <v>1690000</v>
      </c>
      <c r="B552">
        <f t="shared" si="456"/>
        <v>1690</v>
      </c>
      <c r="C552">
        <f t="shared" si="425"/>
        <v>1.4586099830390717</v>
      </c>
      <c r="D552">
        <f t="shared" si="426"/>
        <v>0.81539041175459759</v>
      </c>
      <c r="F552">
        <f t="shared" si="427"/>
        <v>4.9077084231303652E-5</v>
      </c>
      <c r="G552">
        <f t="shared" si="428"/>
        <v>4.0659355046226845E-3</v>
      </c>
      <c r="H552">
        <f t="shared" si="429"/>
        <v>-3.1375267144953773</v>
      </c>
      <c r="J552">
        <f t="shared" si="430"/>
        <v>15</v>
      </c>
      <c r="M552">
        <f t="shared" si="431"/>
        <v>4.7205274509871242E-4</v>
      </c>
      <c r="N552">
        <f t="shared" si="432"/>
        <v>-1.5707963250000001</v>
      </c>
      <c r="O552">
        <f t="shared" si="433"/>
        <v>191.13711276706101</v>
      </c>
      <c r="P552">
        <f t="shared" si="434"/>
        <v>1.5655644566069709</v>
      </c>
      <c r="Q552">
        <f t="shared" si="435"/>
        <v>201.11420372529832</v>
      </c>
      <c r="R552">
        <f t="shared" si="436"/>
        <v>1.565824007077298</v>
      </c>
      <c r="S552">
        <f t="shared" si="437"/>
        <v>0.92181882083479039</v>
      </c>
      <c r="T552">
        <f t="shared" si="438"/>
        <v>-0.39804945123675706</v>
      </c>
      <c r="U552">
        <f t="shared" si="439"/>
        <v>9.8918901524464559E-2</v>
      </c>
      <c r="V552">
        <f t="shared" si="440"/>
        <v>-1.4717153913771237</v>
      </c>
      <c r="X552">
        <f t="shared" si="457"/>
        <v>-55.007753163434252</v>
      </c>
      <c r="Y552">
        <f t="shared" si="441"/>
        <v>-150.76290084924611</v>
      </c>
      <c r="Z552">
        <f t="shared" si="458"/>
        <v>29.237099150753892</v>
      </c>
      <c r="AC552">
        <v>1</v>
      </c>
      <c r="AD552">
        <f t="shared" si="442"/>
        <v>191.13449682600003</v>
      </c>
      <c r="AE552">
        <f t="shared" si="443"/>
        <v>-2.0295775487182346</v>
      </c>
      <c r="AF552">
        <f t="shared" si="444"/>
        <v>0.20175307998300002</v>
      </c>
      <c r="AG552">
        <f t="shared" ref="AG552:AG615" si="473">AC552*AE552/(AE552^2+AF552^2)+AD552*AF552/(AE552^2+AF552^2)</f>
        <v>8.7820595610342735</v>
      </c>
      <c r="AH552">
        <f t="shared" ref="AH552:AH615" si="474">AD552*AE552/(AE552^2+AF552^2)-AC552*AF552/(AE552^2+AF552^2)</f>
        <v>-93.301529365339064</v>
      </c>
      <c r="AJ552">
        <f t="shared" si="445"/>
        <v>10500</v>
      </c>
      <c r="AK552">
        <f t="shared" si="446"/>
        <v>4415.2068766806005</v>
      </c>
      <c r="AL552">
        <v>1</v>
      </c>
      <c r="AM552">
        <f t="shared" si="447"/>
        <v>201.11171756031723</v>
      </c>
      <c r="AN552">
        <f t="shared" ref="AN552:AN615" si="475">AJ552*AL552/(AL552^2+AM552^2)+AK552*AM552/(AL552^2+AM552^2)</f>
        <v>22.21305783099476</v>
      </c>
      <c r="AO552">
        <f t="shared" ref="AO552:AO615" si="476">AK552*AL552/(AL552^2+AM552^2)-AJ552*AM552/(AL552^2+AM552^2)</f>
        <v>-52.099335977410256</v>
      </c>
      <c r="AQ552">
        <f t="shared" si="448"/>
        <v>8.7531941499602469E-4</v>
      </c>
      <c r="AR552">
        <f t="shared" si="449"/>
        <v>-2.9585796226865635</v>
      </c>
      <c r="AT552">
        <f t="shared" si="470"/>
        <v>-276.03231643854673</v>
      </c>
      <c r="AU552">
        <f t="shared" si="471"/>
        <v>-26.064091102598013</v>
      </c>
      <c r="AV552">
        <f t="shared" si="459"/>
        <v>-3.0474477303804126</v>
      </c>
      <c r="AW552">
        <f t="shared" si="460"/>
        <v>-125.45840852980527</v>
      </c>
      <c r="AX552">
        <f t="shared" si="461"/>
        <v>-212.43059502895628</v>
      </c>
      <c r="AY552">
        <f t="shared" si="469"/>
        <v>-2.1042645685710557</v>
      </c>
      <c r="BA552">
        <f t="shared" si="450"/>
        <v>1.1238232157229091</v>
      </c>
      <c r="BB552">
        <f t="shared" si="462"/>
        <v>1.0139599884613242</v>
      </c>
      <c r="BC552">
        <f t="shared" si="463"/>
        <v>-0.94318316180935691</v>
      </c>
      <c r="BD552">
        <f t="shared" si="451"/>
        <v>-234.04041454123094</v>
      </c>
      <c r="BF552">
        <f t="shared" si="452"/>
        <v>-58.36785614741143</v>
      </c>
      <c r="BG552">
        <f t="shared" si="453"/>
        <v>-187.08902429442102</v>
      </c>
      <c r="BH552">
        <f t="shared" si="464"/>
        <v>-7.0890242944210229</v>
      </c>
      <c r="BI552">
        <f t="shared" si="465"/>
        <v>-7.0890242944210229</v>
      </c>
      <c r="BJ552">
        <f t="shared" si="454"/>
        <v>0</v>
      </c>
      <c r="BK552">
        <f t="shared" si="466"/>
        <v>0</v>
      </c>
      <c r="BM552">
        <f t="shared" si="467"/>
        <v>-59.381816135872761</v>
      </c>
      <c r="BN552">
        <f t="shared" si="455"/>
        <v>-133.04860975319008</v>
      </c>
      <c r="BQ552" s="56">
        <f t="shared" si="468"/>
        <v>17.915920788746462</v>
      </c>
    </row>
    <row r="553" spans="1:69" x14ac:dyDescent="0.2">
      <c r="A553">
        <f t="shared" si="472"/>
        <v>1695000</v>
      </c>
      <c r="B553">
        <f t="shared" si="456"/>
        <v>1695</v>
      </c>
      <c r="C553">
        <f t="shared" si="425"/>
        <v>1.4608986291955746</v>
      </c>
      <c r="D553">
        <f t="shared" si="426"/>
        <v>0.81686472839138358</v>
      </c>
      <c r="F553">
        <f t="shared" si="427"/>
        <v>4.8787958950429771E-5</v>
      </c>
      <c r="G553">
        <f t="shared" si="428"/>
        <v>4.0539405306961179E-3</v>
      </c>
      <c r="H553">
        <f t="shared" si="429"/>
        <v>-3.1375387094693039</v>
      </c>
      <c r="J553">
        <f t="shared" si="430"/>
        <v>15</v>
      </c>
      <c r="M553">
        <f t="shared" si="431"/>
        <v>4.7066025912496993E-4</v>
      </c>
      <c r="N553">
        <f t="shared" si="432"/>
        <v>-1.5707963250000001</v>
      </c>
      <c r="O553">
        <f t="shared" si="433"/>
        <v>191.70259172752588</v>
      </c>
      <c r="P553">
        <f t="shared" si="434"/>
        <v>1.5655798895719788</v>
      </c>
      <c r="Q553">
        <f t="shared" si="435"/>
        <v>201.70920147310798</v>
      </c>
      <c r="R553">
        <f t="shared" si="436"/>
        <v>1.5658386744463932</v>
      </c>
      <c r="S553">
        <f t="shared" si="437"/>
        <v>0.92140871532079016</v>
      </c>
      <c r="T553">
        <f t="shared" si="438"/>
        <v>-0.39910613011294654</v>
      </c>
      <c r="U553">
        <f t="shared" si="439"/>
        <v>9.862994806708246E-2</v>
      </c>
      <c r="V553">
        <f t="shared" si="440"/>
        <v>-1.4720057648052525</v>
      </c>
      <c r="X553">
        <f t="shared" si="457"/>
        <v>-55.049073306975927</v>
      </c>
      <c r="Y553">
        <f t="shared" si="441"/>
        <v>-150.75457177937901</v>
      </c>
      <c r="Z553">
        <f t="shared" si="458"/>
        <v>29.245428220620994</v>
      </c>
      <c r="AC553">
        <v>1</v>
      </c>
      <c r="AD553">
        <f t="shared" si="442"/>
        <v>191.69998350300003</v>
      </c>
      <c r="AE553">
        <f t="shared" si="443"/>
        <v>-2.0416046486139159</v>
      </c>
      <c r="AF553">
        <f t="shared" si="444"/>
        <v>0.2023499825865</v>
      </c>
      <c r="AG553">
        <f t="shared" si="473"/>
        <v>8.7308276910021636</v>
      </c>
      <c r="AH553">
        <f t="shared" si="474"/>
        <v>-93.03138136989908</v>
      </c>
      <c r="AJ553">
        <f t="shared" si="445"/>
        <v>10500</v>
      </c>
      <c r="AK553">
        <f t="shared" si="446"/>
        <v>4428.2696189193011</v>
      </c>
      <c r="AL553">
        <v>1</v>
      </c>
      <c r="AM553">
        <f t="shared" si="447"/>
        <v>201.70672264185663</v>
      </c>
      <c r="AN553">
        <f t="shared" si="475"/>
        <v>22.21153176466273</v>
      </c>
      <c r="AO553">
        <f t="shared" si="476"/>
        <v>-51.945658186313054</v>
      </c>
      <c r="AQ553">
        <f t="shared" si="448"/>
        <v>8.7016290580808507E-4</v>
      </c>
      <c r="AR553">
        <f t="shared" si="449"/>
        <v>-2.9498522506894083</v>
      </c>
      <c r="AT553">
        <f t="shared" si="470"/>
        <v>-274.42123247634777</v>
      </c>
      <c r="AU553">
        <f t="shared" si="471"/>
        <v>-25.835604171828312</v>
      </c>
      <c r="AV553">
        <f t="shared" si="459"/>
        <v>-3.0477235435808856</v>
      </c>
      <c r="AW553">
        <f t="shared" si="460"/>
        <v>-124.58965524807599</v>
      </c>
      <c r="AX553">
        <f t="shared" si="461"/>
        <v>-211.80292674499745</v>
      </c>
      <c r="AY553">
        <f t="shared" si="469"/>
        <v>-2.1025193359326488</v>
      </c>
      <c r="BA553">
        <f t="shared" si="450"/>
        <v>1.1216990043894965</v>
      </c>
      <c r="BB553">
        <f t="shared" si="462"/>
        <v>0.99752668795923749</v>
      </c>
      <c r="BC553">
        <f t="shared" si="463"/>
        <v>-0.94520420764823676</v>
      </c>
      <c r="BD553">
        <f t="shared" si="451"/>
        <v>-234.15621193813354</v>
      </c>
      <c r="BF553">
        <f t="shared" si="452"/>
        <v>-58.421993504848338</v>
      </c>
      <c r="BG553">
        <f t="shared" si="453"/>
        <v>-187.12103683165552</v>
      </c>
      <c r="BH553">
        <f t="shared" si="464"/>
        <v>-7.1210368316555162</v>
      </c>
      <c r="BI553">
        <f t="shared" si="465"/>
        <v>-7.1210368316555162</v>
      </c>
      <c r="BJ553">
        <f t="shared" si="454"/>
        <v>0</v>
      </c>
      <c r="BK553">
        <f t="shared" si="466"/>
        <v>0</v>
      </c>
      <c r="BM553">
        <f t="shared" si="467"/>
        <v>-59.419520192807568</v>
      </c>
      <c r="BN553">
        <f t="shared" si="455"/>
        <v>-132.96482489352198</v>
      </c>
      <c r="BQ553" s="56">
        <f t="shared" si="468"/>
        <v>17.899487488244375</v>
      </c>
    </row>
    <row r="554" spans="1:69" x14ac:dyDescent="0.2">
      <c r="A554">
        <f t="shared" si="472"/>
        <v>1700000</v>
      </c>
      <c r="B554">
        <f t="shared" si="456"/>
        <v>1700</v>
      </c>
      <c r="C554">
        <f t="shared" si="425"/>
        <v>1.4631904408376011</v>
      </c>
      <c r="D554">
        <f t="shared" si="426"/>
        <v>0.8183344297369417</v>
      </c>
      <c r="F554">
        <f t="shared" si="427"/>
        <v>4.8501381161989973E-5</v>
      </c>
      <c r="G554">
        <f t="shared" si="428"/>
        <v>4.042016124786013E-3</v>
      </c>
      <c r="H554">
        <f t="shared" si="429"/>
        <v>-3.1375506338752142</v>
      </c>
      <c r="J554">
        <f t="shared" si="430"/>
        <v>15</v>
      </c>
      <c r="M554">
        <f t="shared" si="431"/>
        <v>4.6927596424519065E-4</v>
      </c>
      <c r="N554">
        <f t="shared" si="432"/>
        <v>-1.5707963250000001</v>
      </c>
      <c r="O554">
        <f t="shared" si="433"/>
        <v>192.26807073338119</v>
      </c>
      <c r="P554">
        <f t="shared" si="434"/>
        <v>1.5655952317573025</v>
      </c>
      <c r="Q554">
        <f t="shared" si="435"/>
        <v>202.30419926405642</v>
      </c>
      <c r="R554">
        <f t="shared" si="436"/>
        <v>1.5658532555389613</v>
      </c>
      <c r="S554">
        <f t="shared" si="437"/>
        <v>0.92099794755927289</v>
      </c>
      <c r="T554">
        <f t="shared" si="438"/>
        <v>-0.40016186802356546</v>
      </c>
      <c r="U554">
        <f t="shared" si="439"/>
        <v>9.8342669605599925E-2</v>
      </c>
      <c r="V554">
        <f t="shared" si="440"/>
        <v>-1.4722944467220545</v>
      </c>
      <c r="X554">
        <f t="shared" si="457"/>
        <v>-55.090254940354917</v>
      </c>
      <c r="Y554">
        <f t="shared" si="441"/>
        <v>-150.74636241772882</v>
      </c>
      <c r="Z554">
        <f t="shared" si="458"/>
        <v>29.253637582271182</v>
      </c>
      <c r="AC554">
        <v>1</v>
      </c>
      <c r="AD554">
        <f t="shared" si="442"/>
        <v>192.26547018000002</v>
      </c>
      <c r="AE554">
        <f t="shared" si="443"/>
        <v>-2.0536672790853601</v>
      </c>
      <c r="AF554">
        <f t="shared" si="444"/>
        <v>0.20294688518999998</v>
      </c>
      <c r="AG554">
        <f t="shared" si="473"/>
        <v>8.6800413726055456</v>
      </c>
      <c r="AH554">
        <f t="shared" si="474"/>
        <v>-92.762778450146001</v>
      </c>
      <c r="AJ554">
        <f t="shared" si="445"/>
        <v>10500</v>
      </c>
      <c r="AK554">
        <f t="shared" si="446"/>
        <v>4441.3323611580008</v>
      </c>
      <c r="AL554">
        <v>1</v>
      </c>
      <c r="AM554">
        <f t="shared" si="447"/>
        <v>202.301727723396</v>
      </c>
      <c r="AN554">
        <f t="shared" si="475"/>
        <v>22.210019143371543</v>
      </c>
      <c r="AO554">
        <f t="shared" si="476"/>
        <v>-51.792884315761981</v>
      </c>
      <c r="AQ554">
        <f t="shared" si="448"/>
        <v>8.6505182828271383E-4</v>
      </c>
      <c r="AR554">
        <f t="shared" si="449"/>
        <v>-2.9411762161612272</v>
      </c>
      <c r="AT554">
        <f t="shared" si="470"/>
        <v>-272.82416903694372</v>
      </c>
      <c r="AU554">
        <f t="shared" si="471"/>
        <v>-25.609775851497766</v>
      </c>
      <c r="AV554">
        <f t="shared" si="459"/>
        <v>-3.0479977509159673</v>
      </c>
      <c r="AW554">
        <f t="shared" si="460"/>
        <v>-123.72856016627885</v>
      </c>
      <c r="AX554">
        <f t="shared" si="461"/>
        <v>-211.17896009206606</v>
      </c>
      <c r="AY554">
        <f t="shared" si="469"/>
        <v>-2.1007794579215293</v>
      </c>
      <c r="BA554">
        <f t="shared" si="450"/>
        <v>1.1195801161640861</v>
      </c>
      <c r="BB554">
        <f t="shared" si="462"/>
        <v>0.98110353513045767</v>
      </c>
      <c r="BC554">
        <f t="shared" si="463"/>
        <v>-0.94721829299443794</v>
      </c>
      <c r="BD554">
        <f t="shared" si="451"/>
        <v>-234.2716105281819</v>
      </c>
      <c r="BF554">
        <f t="shared" si="452"/>
        <v>-58.47597205842122</v>
      </c>
      <c r="BG554">
        <f t="shared" si="453"/>
        <v>-187.15291095549506</v>
      </c>
      <c r="BH554">
        <f t="shared" si="464"/>
        <v>-7.1529109554950594</v>
      </c>
      <c r="BI554">
        <f t="shared" si="465"/>
        <v>-7.1529109554950594</v>
      </c>
      <c r="BJ554">
        <f t="shared" si="454"/>
        <v>0</v>
      </c>
      <c r="BK554">
        <f t="shared" si="466"/>
        <v>0</v>
      </c>
      <c r="BM554">
        <f t="shared" si="467"/>
        <v>-59.457075593551679</v>
      </c>
      <c r="BN554">
        <f t="shared" si="455"/>
        <v>-132.88130042731319</v>
      </c>
      <c r="BQ554" s="56">
        <f t="shared" si="468"/>
        <v>17.883064335415597</v>
      </c>
    </row>
    <row r="555" spans="1:69" x14ac:dyDescent="0.2">
      <c r="A555">
        <f t="shared" si="472"/>
        <v>1705000</v>
      </c>
      <c r="B555">
        <f t="shared" si="456"/>
        <v>1705</v>
      </c>
      <c r="C555">
        <f t="shared" si="425"/>
        <v>1.4654854031140381</v>
      </c>
      <c r="D555">
        <f t="shared" si="426"/>
        <v>0.81979953110994719</v>
      </c>
      <c r="F555">
        <f t="shared" si="427"/>
        <v>4.8217321025186342E-5</v>
      </c>
      <c r="G555">
        <f t="shared" si="428"/>
        <v>4.030161665950222E-3</v>
      </c>
      <c r="H555">
        <f t="shared" si="429"/>
        <v>-3.13756248833405</v>
      </c>
      <c r="J555">
        <f t="shared" si="430"/>
        <v>15</v>
      </c>
      <c r="M555">
        <f t="shared" si="431"/>
        <v>4.6789978839696422E-4</v>
      </c>
      <c r="N555">
        <f t="shared" si="432"/>
        <v>-1.5707963250000001</v>
      </c>
      <c r="O555">
        <f t="shared" si="433"/>
        <v>192.83354978422761</v>
      </c>
      <c r="P555">
        <f t="shared" si="434"/>
        <v>1.5656104839615619</v>
      </c>
      <c r="Q555">
        <f t="shared" si="435"/>
        <v>202.89919709776416</v>
      </c>
      <c r="R555">
        <f t="shared" si="436"/>
        <v>1.565867751114008</v>
      </c>
      <c r="S555">
        <f t="shared" si="437"/>
        <v>0.92058652118070572</v>
      </c>
      <c r="T555">
        <f t="shared" si="438"/>
        <v>-0.40121666387467136</v>
      </c>
      <c r="U555">
        <f t="shared" si="439"/>
        <v>9.8057051689317665E-2</v>
      </c>
      <c r="V555">
        <f t="shared" si="440"/>
        <v>-1.4725814518172393</v>
      </c>
      <c r="X555">
        <f t="shared" si="457"/>
        <v>-55.13129901154673</v>
      </c>
      <c r="Y555">
        <f t="shared" si="441"/>
        <v>-150.73827261191224</v>
      </c>
      <c r="Z555">
        <f t="shared" si="458"/>
        <v>29.261727388087763</v>
      </c>
      <c r="AC555">
        <v>1</v>
      </c>
      <c r="AD555">
        <f t="shared" si="442"/>
        <v>192.83095685700002</v>
      </c>
      <c r="AE555">
        <f t="shared" si="443"/>
        <v>-2.0657654401325667</v>
      </c>
      <c r="AF555">
        <f t="shared" si="444"/>
        <v>0.20354378779350002</v>
      </c>
      <c r="AG555">
        <f t="shared" si="473"/>
        <v>8.6296954710927718</v>
      </c>
      <c r="AH555">
        <f t="shared" si="474"/>
        <v>-92.495707518975408</v>
      </c>
      <c r="AJ555">
        <f t="shared" si="445"/>
        <v>10500</v>
      </c>
      <c r="AK555">
        <f t="shared" si="446"/>
        <v>4454.3951033967005</v>
      </c>
      <c r="AL555">
        <v>1</v>
      </c>
      <c r="AM555">
        <f t="shared" si="447"/>
        <v>202.8967328049354</v>
      </c>
      <c r="AN555">
        <f t="shared" si="475"/>
        <v>22.208519809645974</v>
      </c>
      <c r="AO555">
        <f t="shared" si="476"/>
        <v>-51.64100641415299</v>
      </c>
      <c r="AQ555">
        <f t="shared" si="448"/>
        <v>8.5998565027943941E-4</v>
      </c>
      <c r="AR555">
        <f t="shared" si="449"/>
        <v>-2.9325510674528883</v>
      </c>
      <c r="AT555">
        <f t="shared" si="470"/>
        <v>-271.24096440531002</v>
      </c>
      <c r="AU555">
        <f t="shared" si="471"/>
        <v>-25.386567646725226</v>
      </c>
      <c r="AV555">
        <f t="shared" si="459"/>
        <v>-3.0482703663219124</v>
      </c>
      <c r="AW555">
        <f t="shared" si="460"/>
        <v>-122.87503352630084</v>
      </c>
      <c r="AX555">
        <f t="shared" si="461"/>
        <v>-210.55866238789511</v>
      </c>
      <c r="AY555">
        <f t="shared" si="469"/>
        <v>-2.0990449102491708</v>
      </c>
      <c r="BA555">
        <f t="shared" si="450"/>
        <v>1.1174665499422991</v>
      </c>
      <c r="BB555">
        <f t="shared" si="462"/>
        <v>0.96469063799619392</v>
      </c>
      <c r="BC555">
        <f t="shared" si="463"/>
        <v>-0.94922545607274156</v>
      </c>
      <c r="BD555">
        <f t="shared" si="451"/>
        <v>-234.38661250149457</v>
      </c>
      <c r="BF555">
        <f t="shared" si="452"/>
        <v>-58.529792697770361</v>
      </c>
      <c r="BG555">
        <f t="shared" si="453"/>
        <v>-187.18464801394029</v>
      </c>
      <c r="BH555">
        <f t="shared" si="464"/>
        <v>-7.18464801394029</v>
      </c>
      <c r="BI555">
        <f t="shared" si="465"/>
        <v>-7.18464801394029</v>
      </c>
      <c r="BJ555">
        <f t="shared" si="454"/>
        <v>0</v>
      </c>
      <c r="BK555">
        <f t="shared" si="466"/>
        <v>0</v>
      </c>
      <c r="BM555">
        <f t="shared" si="467"/>
        <v>-59.494483335766546</v>
      </c>
      <c r="BN555">
        <f t="shared" si="455"/>
        <v>-132.79803551244572</v>
      </c>
      <c r="BQ555" s="56">
        <f t="shared" si="468"/>
        <v>17.86665143828133</v>
      </c>
    </row>
    <row r="556" spans="1:69" x14ac:dyDescent="0.2">
      <c r="A556">
        <f t="shared" si="472"/>
        <v>1710000</v>
      </c>
      <c r="B556">
        <f t="shared" si="456"/>
        <v>1710</v>
      </c>
      <c r="C556">
        <f t="shared" si="425"/>
        <v>1.4677835012463021</v>
      </c>
      <c r="D556">
        <f t="shared" si="426"/>
        <v>0.82126004781232653</v>
      </c>
      <c r="F556">
        <f t="shared" si="427"/>
        <v>4.793574913488689E-5</v>
      </c>
      <c r="G556">
        <f t="shared" si="428"/>
        <v>4.0183765405106663E-3</v>
      </c>
      <c r="H556">
        <f t="shared" si="429"/>
        <v>-3.1375742734594896</v>
      </c>
      <c r="J556">
        <f t="shared" si="430"/>
        <v>15</v>
      </c>
      <c r="M556">
        <f t="shared" si="431"/>
        <v>4.6653166036071583E-4</v>
      </c>
      <c r="N556">
        <f t="shared" si="432"/>
        <v>-1.5707963250000001</v>
      </c>
      <c r="O556">
        <f t="shared" si="433"/>
        <v>193.39902887967054</v>
      </c>
      <c r="P556">
        <f t="shared" si="434"/>
        <v>1.5656256469740357</v>
      </c>
      <c r="Q556">
        <f t="shared" si="435"/>
        <v>203.49419497385608</v>
      </c>
      <c r="R556">
        <f t="shared" si="436"/>
        <v>1.5658821619216634</v>
      </c>
      <c r="S556">
        <f t="shared" si="437"/>
        <v>0.92017443981200031</v>
      </c>
      <c r="T556">
        <f t="shared" si="438"/>
        <v>-0.40227051658265828</v>
      </c>
      <c r="U556">
        <f t="shared" si="439"/>
        <v>9.7773080032457008E-2</v>
      </c>
      <c r="V556">
        <f t="shared" si="440"/>
        <v>-1.4728667946114642</v>
      </c>
      <c r="X556">
        <f t="shared" si="457"/>
        <v>-55.172206459994548</v>
      </c>
      <c r="Y556">
        <f t="shared" si="441"/>
        <v>-150.7303022020393</v>
      </c>
      <c r="Z556">
        <f t="shared" si="458"/>
        <v>29.269697797960703</v>
      </c>
      <c r="AC556">
        <v>1</v>
      </c>
      <c r="AD556">
        <f t="shared" si="442"/>
        <v>193.39644353400001</v>
      </c>
      <c r="AE556">
        <f t="shared" si="443"/>
        <v>-2.0778991317555366</v>
      </c>
      <c r="AF556">
        <f t="shared" si="444"/>
        <v>0.204140690397</v>
      </c>
      <c r="AG556">
        <f t="shared" si="473"/>
        <v>8.5797849252265035</v>
      </c>
      <c r="AH556">
        <f t="shared" si="474"/>
        <v>-92.230155635126081</v>
      </c>
      <c r="AJ556">
        <f t="shared" si="445"/>
        <v>10500</v>
      </c>
      <c r="AK556">
        <f t="shared" si="446"/>
        <v>4467.4578456354002</v>
      </c>
      <c r="AL556">
        <v>1</v>
      </c>
      <c r="AM556">
        <f t="shared" si="447"/>
        <v>203.49173788647482</v>
      </c>
      <c r="AN556">
        <f t="shared" si="475"/>
        <v>22.20703360830959</v>
      </c>
      <c r="AO556">
        <f t="shared" si="476"/>
        <v>-51.490016622871948</v>
      </c>
      <c r="AQ556">
        <f t="shared" si="448"/>
        <v>8.549638474262297E-4</v>
      </c>
      <c r="AR556">
        <f t="shared" si="449"/>
        <v>-2.9239763581977054</v>
      </c>
      <c r="AT556">
        <f t="shared" si="470"/>
        <v>-269.67145918407374</v>
      </c>
      <c r="AU556">
        <f t="shared" si="471"/>
        <v>-25.165941728493891</v>
      </c>
      <c r="AV556">
        <f t="shared" si="459"/>
        <v>-3.048541403574736</v>
      </c>
      <c r="AW556">
        <f t="shared" si="460"/>
        <v>-122.02898688135272</v>
      </c>
      <c r="AX556">
        <f t="shared" si="461"/>
        <v>-209.94200133426779</v>
      </c>
      <c r="AY556">
        <f t="shared" si="469"/>
        <v>-2.0973156687245114</v>
      </c>
      <c r="BA556">
        <f t="shared" si="450"/>
        <v>1.1153583043372861</v>
      </c>
      <c r="BB556">
        <f t="shared" si="462"/>
        <v>0.94828810282927911</v>
      </c>
      <c r="BC556">
        <f t="shared" si="463"/>
        <v>-0.95122573485022466</v>
      </c>
      <c r="BD556">
        <f t="shared" si="451"/>
        <v>-234.50122003342491</v>
      </c>
      <c r="BF556">
        <f t="shared" si="452"/>
        <v>-58.583456305383244</v>
      </c>
      <c r="BG556">
        <f t="shared" si="453"/>
        <v>-187.21624934076979</v>
      </c>
      <c r="BH556">
        <f t="shared" si="464"/>
        <v>-7.2162493407697923</v>
      </c>
      <c r="BI556">
        <f t="shared" si="465"/>
        <v>-7.2162493407697923</v>
      </c>
      <c r="BJ556">
        <f t="shared" si="454"/>
        <v>0</v>
      </c>
      <c r="BK556">
        <f t="shared" si="466"/>
        <v>0</v>
      </c>
      <c r="BM556">
        <f t="shared" si="467"/>
        <v>-59.531744408212532</v>
      </c>
      <c r="BN556">
        <f t="shared" si="455"/>
        <v>-132.71502930734488</v>
      </c>
      <c r="BQ556" s="56">
        <f t="shared" si="468"/>
        <v>17.850248903114416</v>
      </c>
    </row>
    <row r="557" spans="1:69" x14ac:dyDescent="0.2">
      <c r="A557">
        <f t="shared" si="472"/>
        <v>1715000</v>
      </c>
      <c r="B557">
        <f t="shared" si="456"/>
        <v>1715</v>
      </c>
      <c r="C557">
        <f t="shared" si="425"/>
        <v>1.4700847205280889</v>
      </c>
      <c r="D557">
        <f t="shared" si="426"/>
        <v>0.82271599512862725</v>
      </c>
      <c r="F557">
        <f t="shared" si="427"/>
        <v>4.7656636514015004E-5</v>
      </c>
      <c r="G557">
        <f t="shared" si="428"/>
        <v>4.0066601419474221E-3</v>
      </c>
      <c r="H557">
        <f t="shared" si="429"/>
        <v>-3.1375859898580529</v>
      </c>
      <c r="J557">
        <f t="shared" si="430"/>
        <v>15</v>
      </c>
      <c r="M557">
        <f t="shared" si="431"/>
        <v>4.6517150974741931E-4</v>
      </c>
      <c r="N557">
        <f t="shared" si="432"/>
        <v>-1.5707963250000001</v>
      </c>
      <c r="O557">
        <f t="shared" si="433"/>
        <v>193.96450801931994</v>
      </c>
      <c r="P557">
        <f t="shared" si="434"/>
        <v>1.5656407215747996</v>
      </c>
      <c r="Q557">
        <f t="shared" si="435"/>
        <v>204.08919289196155</v>
      </c>
      <c r="R557">
        <f t="shared" si="436"/>
        <v>1.5658964887033089</v>
      </c>
      <c r="S557">
        <f t="shared" si="437"/>
        <v>0.91976170707644989</v>
      </c>
      <c r="T557">
        <f t="shared" si="438"/>
        <v>-0.40332342507423663</v>
      </c>
      <c r="U557">
        <f t="shared" si="439"/>
        <v>9.7490740511825907E-2</v>
      </c>
      <c r="V557">
        <f t="shared" si="440"/>
        <v>-1.4731504894587504</v>
      </c>
      <c r="X557">
        <f t="shared" si="457"/>
        <v>-55.212978216702204</v>
      </c>
      <c r="Y557">
        <f t="shared" si="441"/>
        <v>-150.7224510208778</v>
      </c>
      <c r="Z557">
        <f t="shared" si="458"/>
        <v>29.277548979122201</v>
      </c>
      <c r="AC557">
        <v>1</v>
      </c>
      <c r="AD557">
        <f t="shared" si="442"/>
        <v>193.96193021100001</v>
      </c>
      <c r="AE557">
        <f t="shared" si="443"/>
        <v>-2.090068353954269</v>
      </c>
      <c r="AF557">
        <f t="shared" si="444"/>
        <v>0.20473759300049998</v>
      </c>
      <c r="AG557">
        <f t="shared" si="473"/>
        <v>8.530304746028559</v>
      </c>
      <c r="AH557">
        <f t="shared" si="474"/>
        <v>-91.966110001177071</v>
      </c>
      <c r="AJ557">
        <f t="shared" si="445"/>
        <v>10500</v>
      </c>
      <c r="AK557">
        <f t="shared" si="446"/>
        <v>4480.5205878741008</v>
      </c>
      <c r="AL557">
        <v>1</v>
      </c>
      <c r="AM557">
        <f t="shared" si="447"/>
        <v>204.08674296801422</v>
      </c>
      <c r="AN557">
        <f t="shared" si="475"/>
        <v>22.205560386444613</v>
      </c>
      <c r="AO557">
        <f t="shared" si="476"/>
        <v>-51.339907174939349</v>
      </c>
      <c r="AQ557">
        <f t="shared" si="448"/>
        <v>8.49985902983799E-4</v>
      </c>
      <c r="AR557">
        <f t="shared" si="449"/>
        <v>-2.9154516472344305</v>
      </c>
      <c r="AT557">
        <f t="shared" si="470"/>
        <v>-268.11549625389222</v>
      </c>
      <c r="AU557">
        <f t="shared" si="471"/>
        <v>-24.9478609202739</v>
      </c>
      <c r="AV557">
        <f t="shared" si="459"/>
        <v>-3.0488108762924999</v>
      </c>
      <c r="AW557">
        <f t="shared" si="460"/>
        <v>-121.19033307304417</v>
      </c>
      <c r="AX557">
        <f t="shared" si="461"/>
        <v>-209.32894501138549</v>
      </c>
      <c r="AY557">
        <f t="shared" si="469"/>
        <v>-2.0955917092541059</v>
      </c>
      <c r="BA557">
        <f t="shared" si="450"/>
        <v>1.1132553776851486</v>
      </c>
      <c r="BB557">
        <f t="shared" si="462"/>
        <v>0.93189603417604872</v>
      </c>
      <c r="BC557">
        <f t="shared" si="463"/>
        <v>-0.95321916703839404</v>
      </c>
      <c r="BD557">
        <f t="shared" si="451"/>
        <v>-234.61543528468306</v>
      </c>
      <c r="BF557">
        <f t="shared" si="452"/>
        <v>-58.636963756671648</v>
      </c>
      <c r="BG557">
        <f t="shared" si="453"/>
        <v>-187.24771625570472</v>
      </c>
      <c r="BH557">
        <f t="shared" si="464"/>
        <v>-7.2477162557047166</v>
      </c>
      <c r="BI557">
        <f t="shared" si="465"/>
        <v>-7.2477162557047166</v>
      </c>
      <c r="BJ557">
        <f t="shared" si="454"/>
        <v>0</v>
      </c>
      <c r="BK557">
        <f t="shared" si="466"/>
        <v>0</v>
      </c>
      <c r="BM557">
        <f t="shared" si="467"/>
        <v>-59.568859790847704</v>
      </c>
      <c r="BN557">
        <f t="shared" si="455"/>
        <v>-132.63228097102169</v>
      </c>
      <c r="BQ557" s="56">
        <f t="shared" si="468"/>
        <v>17.833856834461187</v>
      </c>
    </row>
    <row r="558" spans="1:69" x14ac:dyDescent="0.2">
      <c r="A558">
        <f t="shared" si="472"/>
        <v>1720000</v>
      </c>
      <c r="B558">
        <f t="shared" si="456"/>
        <v>1720</v>
      </c>
      <c r="C558">
        <f t="shared" si="425"/>
        <v>1.4723890463251219</v>
      </c>
      <c r="D558">
        <f t="shared" si="426"/>
        <v>0.82416738832539671</v>
      </c>
      <c r="F558">
        <f t="shared" si="427"/>
        <v>4.7379954606093488E-5</v>
      </c>
      <c r="G558">
        <f t="shared" si="428"/>
        <v>3.9950118707946436E-3</v>
      </c>
      <c r="H558">
        <f t="shared" si="429"/>
        <v>-3.1375976381292054</v>
      </c>
      <c r="J558">
        <f t="shared" si="430"/>
        <v>15</v>
      </c>
      <c r="M558">
        <f t="shared" si="431"/>
        <v>4.6381926698652558E-4</v>
      </c>
      <c r="N558">
        <f t="shared" si="432"/>
        <v>-1.5707963250000001</v>
      </c>
      <c r="O558">
        <f t="shared" si="433"/>
        <v>194.52998720279024</v>
      </c>
      <c r="P558">
        <f t="shared" si="434"/>
        <v>1.5656557085348588</v>
      </c>
      <c r="Q558">
        <f t="shared" si="435"/>
        <v>204.68419085171413</v>
      </c>
      <c r="R558">
        <f t="shared" si="436"/>
        <v>1.5659107321917063</v>
      </c>
      <c r="S558">
        <f t="shared" si="437"/>
        <v>0.91934832659366872</v>
      </c>
      <c r="T558">
        <f t="shared" si="438"/>
        <v>-0.40437538828641373</v>
      </c>
      <c r="U558">
        <f t="shared" si="439"/>
        <v>9.7210019164524264E-2</v>
      </c>
      <c r="V558">
        <f t="shared" si="440"/>
        <v>-1.4734325505488601</v>
      </c>
      <c r="X558">
        <f t="shared" si="457"/>
        <v>-55.253615204325861</v>
      </c>
      <c r="Y558">
        <f t="shared" si="441"/>
        <v>-150.71471889401485</v>
      </c>
      <c r="Z558">
        <f t="shared" si="458"/>
        <v>29.285281105985149</v>
      </c>
      <c r="AC558">
        <v>1</v>
      </c>
      <c r="AD558">
        <f t="shared" si="442"/>
        <v>194.527416888</v>
      </c>
      <c r="AE558">
        <f t="shared" si="443"/>
        <v>-2.1022731067287639</v>
      </c>
      <c r="AF558">
        <f t="shared" si="444"/>
        <v>0.20533449560399997</v>
      </c>
      <c r="AG558">
        <f t="shared" si="473"/>
        <v>8.4812500155494828</v>
      </c>
      <c r="AH558">
        <f t="shared" si="474"/>
        <v>-91.703557961577005</v>
      </c>
      <c r="AJ558">
        <f t="shared" si="445"/>
        <v>10500</v>
      </c>
      <c r="AK558">
        <f t="shared" si="446"/>
        <v>4493.5833301128005</v>
      </c>
      <c r="AL558">
        <v>1</v>
      </c>
      <c r="AM558">
        <f t="shared" si="447"/>
        <v>204.68174804955362</v>
      </c>
      <c r="AN558">
        <f t="shared" si="475"/>
        <v>22.204099993352536</v>
      </c>
      <c r="AO558">
        <f t="shared" si="476"/>
        <v>-51.190670393678502</v>
      </c>
      <c r="AQ558">
        <f t="shared" si="448"/>
        <v>8.4505130771267347E-4</v>
      </c>
      <c r="AR558">
        <f t="shared" si="449"/>
        <v>-2.9069764985315967</v>
      </c>
      <c r="AT558">
        <f t="shared" si="470"/>
        <v>-266.57292073461775</v>
      </c>
      <c r="AU558">
        <f t="shared" si="471"/>
        <v>-24.732288684950419</v>
      </c>
      <c r="AV558">
        <f t="shared" si="459"/>
        <v>-3.0490787979375642</v>
      </c>
      <c r="AW558">
        <f t="shared" si="460"/>
        <v>-120.358986208925</v>
      </c>
      <c r="AX558">
        <f t="shared" si="461"/>
        <v>-208.71946187233448</v>
      </c>
      <c r="AY558">
        <f t="shared" si="469"/>
        <v>-2.093873007842272</v>
      </c>
      <c r="BA558">
        <f t="shared" si="450"/>
        <v>1.1111577680502809</v>
      </c>
      <c r="BB558">
        <f t="shared" si="462"/>
        <v>0.9155145348779864</v>
      </c>
      <c r="BC558">
        <f t="shared" si="463"/>
        <v>-0.95520579009529216</v>
      </c>
      <c r="BD558">
        <f t="shared" si="451"/>
        <v>-234.72926040145677</v>
      </c>
      <c r="BF558">
        <f t="shared" si="452"/>
        <v>-58.690315920047453</v>
      </c>
      <c r="BG558">
        <f t="shared" si="453"/>
        <v>-187.27905006457092</v>
      </c>
      <c r="BH558">
        <f t="shared" si="464"/>
        <v>-7.2790500645709244</v>
      </c>
      <c r="BI558">
        <f t="shared" si="465"/>
        <v>-7.2790500645709244</v>
      </c>
      <c r="BJ558">
        <f t="shared" si="454"/>
        <v>0</v>
      </c>
      <c r="BK558">
        <f t="shared" si="466"/>
        <v>0</v>
      </c>
      <c r="BM558">
        <f t="shared" si="467"/>
        <v>-59.605830454925446</v>
      </c>
      <c r="BN558">
        <f t="shared" si="455"/>
        <v>-132.54978966311418</v>
      </c>
      <c r="BQ558" s="56">
        <f t="shared" si="468"/>
        <v>17.817475335163124</v>
      </c>
    </row>
    <row r="559" spans="1:69" x14ac:dyDescent="0.2">
      <c r="A559">
        <f t="shared" si="472"/>
        <v>1725000</v>
      </c>
      <c r="B559">
        <f t="shared" si="456"/>
        <v>1725</v>
      </c>
      <c r="C559">
        <f t="shared" si="425"/>
        <v>1.4746964640748998</v>
      </c>
      <c r="D559">
        <f t="shared" si="426"/>
        <v>0.82561424265057448</v>
      </c>
      <c r="F559">
        <f t="shared" si="427"/>
        <v>4.7105675267939795E-5</v>
      </c>
      <c r="G559">
        <f t="shared" si="428"/>
        <v>3.9834311345383101E-3</v>
      </c>
      <c r="H559">
        <f t="shared" si="429"/>
        <v>-3.1376092188654621</v>
      </c>
      <c r="J559">
        <f t="shared" si="430"/>
        <v>15</v>
      </c>
      <c r="M559">
        <f t="shared" si="431"/>
        <v>4.6247486331410092E-4</v>
      </c>
      <c r="N559">
        <f t="shared" si="432"/>
        <v>-1.5707963250000001</v>
      </c>
      <c r="O559">
        <f t="shared" si="433"/>
        <v>195.09546642970045</v>
      </c>
      <c r="P559">
        <f t="shared" si="434"/>
        <v>1.5656706086162793</v>
      </c>
      <c r="Q559">
        <f t="shared" si="435"/>
        <v>205.2791888527517</v>
      </c>
      <c r="R559">
        <f t="shared" si="436"/>
        <v>1.5659248931111216</v>
      </c>
      <c r="S559">
        <f t="shared" si="437"/>
        <v>0.9189343019795313</v>
      </c>
      <c r="T559">
        <f t="shared" si="438"/>
        <v>-0.40542640516647294</v>
      </c>
      <c r="U559">
        <f t="shared" si="439"/>
        <v>9.6930902185687784E-2</v>
      </c>
      <c r="V559">
        <f t="shared" si="440"/>
        <v>-1.4737129919096303</v>
      </c>
      <c r="X559">
        <f t="shared" si="457"/>
        <v>-55.294118337264479</v>
      </c>
      <c r="Y559">
        <f t="shared" si="441"/>
        <v>-150.7071056400155</v>
      </c>
      <c r="Z559">
        <f t="shared" si="458"/>
        <v>29.292894359984501</v>
      </c>
      <c r="AC559">
        <v>1</v>
      </c>
      <c r="AD559">
        <f t="shared" si="442"/>
        <v>195.09290356500003</v>
      </c>
      <c r="AE559">
        <f t="shared" si="443"/>
        <v>-2.1145133900790221</v>
      </c>
      <c r="AF559">
        <f t="shared" si="444"/>
        <v>0.2059313982075</v>
      </c>
      <c r="AG559">
        <f t="shared" si="473"/>
        <v>8.4326158856625035</v>
      </c>
      <c r="AH559">
        <f t="shared" si="474"/>
        <v>-91.44248700070554</v>
      </c>
      <c r="AJ559">
        <f t="shared" si="445"/>
        <v>10500</v>
      </c>
      <c r="AK559">
        <f t="shared" si="446"/>
        <v>4506.6460723515002</v>
      </c>
      <c r="AL559">
        <v>1</v>
      </c>
      <c r="AM559">
        <f t="shared" si="447"/>
        <v>205.27675313109305</v>
      </c>
      <c r="AN559">
        <f t="shared" si="475"/>
        <v>22.202652280515636</v>
      </c>
      <c r="AO559">
        <f t="shared" si="476"/>
        <v>-51.042298691407083</v>
      </c>
      <c r="AQ559">
        <f t="shared" si="448"/>
        <v>8.4015955974294811E-4</v>
      </c>
      <c r="AR559">
        <f t="shared" si="449"/>
        <v>-2.8985504811131713</v>
      </c>
      <c r="AT559">
        <f t="shared" si="470"/>
        <v>-265.04357994722994</v>
      </c>
      <c r="AU559">
        <f t="shared" si="471"/>
        <v>-24.519189112049933</v>
      </c>
      <c r="AV559">
        <f t="shared" si="459"/>
        <v>-3.049345181818798</v>
      </c>
      <c r="AW559">
        <f t="shared" si="460"/>
        <v>-119.53486164048223</v>
      </c>
      <c r="AX559">
        <f t="shared" si="461"/>
        <v>-208.11352073765059</v>
      </c>
      <c r="AY559">
        <f t="shared" si="469"/>
        <v>-2.0921595405912141</v>
      </c>
      <c r="BA559">
        <f t="shared" si="450"/>
        <v>1.1090654732306231</v>
      </c>
      <c r="BB559">
        <f t="shared" si="462"/>
        <v>0.8991437060930495</v>
      </c>
      <c r="BC559">
        <f t="shared" si="463"/>
        <v>-0.95718564122758387</v>
      </c>
      <c r="BD559">
        <f t="shared" si="451"/>
        <v>-234.84269751553089</v>
      </c>
      <c r="BF559">
        <f t="shared" si="452"/>
        <v>-58.743513656997536</v>
      </c>
      <c r="BG559">
        <f t="shared" si="453"/>
        <v>-187.31025205945932</v>
      </c>
      <c r="BH559">
        <f t="shared" si="464"/>
        <v>-7.3102520594593159</v>
      </c>
      <c r="BI559">
        <f t="shared" si="465"/>
        <v>-7.3102520594593159</v>
      </c>
      <c r="BJ559">
        <f t="shared" si="454"/>
        <v>0</v>
      </c>
      <c r="BK559">
        <f t="shared" si="466"/>
        <v>0</v>
      </c>
      <c r="BM559">
        <f t="shared" si="467"/>
        <v>-59.642657363090585</v>
      </c>
      <c r="BN559">
        <f t="shared" si="455"/>
        <v>-132.46755454392846</v>
      </c>
      <c r="BQ559" s="56">
        <f t="shared" si="468"/>
        <v>17.801104506378188</v>
      </c>
    </row>
    <row r="560" spans="1:69" x14ac:dyDescent="0.2">
      <c r="A560">
        <f t="shared" si="472"/>
        <v>1730000</v>
      </c>
      <c r="B560">
        <f t="shared" si="456"/>
        <v>1730</v>
      </c>
      <c r="C560">
        <f t="shared" si="425"/>
        <v>1.4770069592864414</v>
      </c>
      <c r="D560">
        <f t="shared" si="426"/>
        <v>0.82705657333289484</v>
      </c>
      <c r="F560">
        <f t="shared" si="427"/>
        <v>4.6833770762508719E-5</v>
      </c>
      <c r="G560">
        <f t="shared" si="428"/>
        <v>3.9719173475157394E-3</v>
      </c>
      <c r="H560">
        <f t="shared" si="429"/>
        <v>-3.1376207326524845</v>
      </c>
      <c r="J560">
        <f t="shared" si="430"/>
        <v>15</v>
      </c>
      <c r="M560">
        <f t="shared" si="431"/>
        <v>4.6113823076116993E-4</v>
      </c>
      <c r="N560">
        <f t="shared" si="432"/>
        <v>-1.5707963250000001</v>
      </c>
      <c r="O560">
        <f t="shared" si="433"/>
        <v>195.66094569967396</v>
      </c>
      <c r="P560">
        <f t="shared" si="434"/>
        <v>1.5656854225723176</v>
      </c>
      <c r="Q560">
        <f t="shared" si="435"/>
        <v>205.8741868947163</v>
      </c>
      <c r="R560">
        <f t="shared" si="436"/>
        <v>1.5659389721774484</v>
      </c>
      <c r="S560">
        <f t="shared" si="437"/>
        <v>0.91851963684611149</v>
      </c>
      <c r="T560">
        <f t="shared" si="438"/>
        <v>-0.40647647467195386</v>
      </c>
      <c r="U560">
        <f t="shared" si="439"/>
        <v>9.6653375926269672E-2</v>
      </c>
      <c r="V560">
        <f t="shared" si="440"/>
        <v>-1.4739918274092705</v>
      </c>
      <c r="X560">
        <f t="shared" si="457"/>
        <v>-55.334488521749179</v>
      </c>
      <c r="Y560">
        <f t="shared" si="441"/>
        <v>-150.69961107057864</v>
      </c>
      <c r="Z560">
        <f t="shared" si="458"/>
        <v>29.300388929421359</v>
      </c>
      <c r="AC560">
        <v>1</v>
      </c>
      <c r="AD560">
        <f t="shared" si="442"/>
        <v>195.65839024200002</v>
      </c>
      <c r="AE560">
        <f t="shared" si="443"/>
        <v>-2.1267892040050427</v>
      </c>
      <c r="AF560">
        <f t="shared" si="444"/>
        <v>0.20652830081099999</v>
      </c>
      <c r="AG560">
        <f t="shared" si="473"/>
        <v>8.3843975768812076</v>
      </c>
      <c r="AH560">
        <f t="shared" si="474"/>
        <v>-91.182884740966117</v>
      </c>
      <c r="AJ560">
        <f t="shared" si="445"/>
        <v>10500</v>
      </c>
      <c r="AK560">
        <f t="shared" si="446"/>
        <v>4519.7088145902007</v>
      </c>
      <c r="AL560">
        <v>1</v>
      </c>
      <c r="AM560">
        <f t="shared" si="447"/>
        <v>205.87175821263244</v>
      </c>
      <c r="AN560">
        <f t="shared" si="475"/>
        <v>22.20121710155918</v>
      </c>
      <c r="AO560">
        <f t="shared" si="476"/>
        <v>-50.894784568151202</v>
      </c>
      <c r="AQ560">
        <f t="shared" si="448"/>
        <v>8.3531016444667679E-4</v>
      </c>
      <c r="AR560">
        <f t="shared" si="449"/>
        <v>-2.8901731689855015</v>
      </c>
      <c r="AT560">
        <f t="shared" si="470"/>
        <v>-263.52732337651906</v>
      </c>
      <c r="AU560">
        <f t="shared" si="471"/>
        <v>-24.308526905256819</v>
      </c>
      <c r="AV560">
        <f t="shared" si="459"/>
        <v>-3.0496100410937528</v>
      </c>
      <c r="AW560">
        <f t="shared" si="460"/>
        <v>-118.7178759415815</v>
      </c>
      <c r="AX560">
        <f t="shared" si="461"/>
        <v>-207.51109078997771</v>
      </c>
      <c r="AY560">
        <f t="shared" si="469"/>
        <v>-2.0904512837011384</v>
      </c>
      <c r="BA560">
        <f t="shared" si="450"/>
        <v>1.1069784907628408</v>
      </c>
      <c r="BB560">
        <f t="shared" si="462"/>
        <v>0.88278364731679659</v>
      </c>
      <c r="BC560">
        <f t="shared" si="463"/>
        <v>-0.95915875739261436</v>
      </c>
      <c r="BD560">
        <f t="shared" si="451"/>
        <v>-234.95574874440535</v>
      </c>
      <c r="BF560">
        <f t="shared" si="452"/>
        <v>-58.796557822157567</v>
      </c>
      <c r="BG560">
        <f t="shared" si="453"/>
        <v>-187.34132351888354</v>
      </c>
      <c r="BH560">
        <f t="shared" si="464"/>
        <v>-7.3413235188835415</v>
      </c>
      <c r="BI560">
        <f t="shared" si="465"/>
        <v>-7.3413235188835415</v>
      </c>
      <c r="BJ560">
        <f t="shared" si="454"/>
        <v>0</v>
      </c>
      <c r="BK560">
        <f t="shared" si="466"/>
        <v>0</v>
      </c>
      <c r="BM560">
        <f t="shared" si="467"/>
        <v>-59.679341469474359</v>
      </c>
      <c r="BN560">
        <f t="shared" si="455"/>
        <v>-132.38557477447821</v>
      </c>
      <c r="BQ560" s="56">
        <f t="shared" si="468"/>
        <v>17.784744447601931</v>
      </c>
    </row>
    <row r="561" spans="1:69" x14ac:dyDescent="0.2">
      <c r="A561">
        <f t="shared" si="472"/>
        <v>1735000</v>
      </c>
      <c r="B561">
        <f t="shared" si="456"/>
        <v>1735</v>
      </c>
      <c r="C561">
        <f t="shared" si="425"/>
        <v>1.4793205175400304</v>
      </c>
      <c r="D561">
        <f t="shared" si="426"/>
        <v>0.8284943955813</v>
      </c>
      <c r="F561">
        <f t="shared" si="427"/>
        <v>4.6564213751879339E-5</v>
      </c>
      <c r="G561">
        <f t="shared" si="428"/>
        <v>3.960469930816838E-3</v>
      </c>
      <c r="H561">
        <f t="shared" si="429"/>
        <v>-3.1376321800691835</v>
      </c>
      <c r="J561">
        <f t="shared" si="430"/>
        <v>15</v>
      </c>
      <c r="M561">
        <f t="shared" si="431"/>
        <v>4.5980930214226166E-4</v>
      </c>
      <c r="N561">
        <f t="shared" si="432"/>
        <v>-1.5707963250000001</v>
      </c>
      <c r="O561">
        <f t="shared" si="433"/>
        <v>196.22642501233838</v>
      </c>
      <c r="P561">
        <f t="shared" si="434"/>
        <v>1.5657001511475481</v>
      </c>
      <c r="Q561">
        <f t="shared" si="435"/>
        <v>206.46918497725412</v>
      </c>
      <c r="R561">
        <f t="shared" si="436"/>
        <v>1.5659529700983277</v>
      </c>
      <c r="S561">
        <f t="shared" si="437"/>
        <v>0.9181043348016229</v>
      </c>
      <c r="T561">
        <f t="shared" si="438"/>
        <v>-0.40752559577063124</v>
      </c>
      <c r="U561">
        <f t="shared" si="439"/>
        <v>9.6377426890859361E-2</v>
      </c>
      <c r="V561">
        <f t="shared" si="440"/>
        <v>-1.4742690707586172</v>
      </c>
      <c r="X561">
        <f t="shared" si="457"/>
        <v>-55.374726655931397</v>
      </c>
      <c r="Y561">
        <f t="shared" si="441"/>
        <v>-150.69223499069045</v>
      </c>
      <c r="Z561">
        <f t="shared" si="458"/>
        <v>29.307765009309549</v>
      </c>
      <c r="AC561">
        <v>1</v>
      </c>
      <c r="AD561">
        <f t="shared" si="442"/>
        <v>196.22387691900002</v>
      </c>
      <c r="AE561">
        <f t="shared" si="443"/>
        <v>-2.1391005485068257</v>
      </c>
      <c r="AF561">
        <f t="shared" si="444"/>
        <v>0.20712520341449997</v>
      </c>
      <c r="AG561">
        <f t="shared" si="473"/>
        <v>8.3365903772004213</v>
      </c>
      <c r="AH561">
        <f t="shared" si="474"/>
        <v>-90.924738940909293</v>
      </c>
      <c r="AJ561">
        <f t="shared" si="445"/>
        <v>10500</v>
      </c>
      <c r="AK561">
        <f t="shared" si="446"/>
        <v>4532.7715568289004</v>
      </c>
      <c r="AL561">
        <v>1</v>
      </c>
      <c r="AM561">
        <f t="shared" si="447"/>
        <v>206.46676329417181</v>
      </c>
      <c r="AN561">
        <f t="shared" si="475"/>
        <v>22.199794312214451</v>
      </c>
      <c r="AO561">
        <f t="shared" si="476"/>
        <v>-50.748120610381825</v>
      </c>
      <c r="AQ561">
        <f t="shared" si="448"/>
        <v>8.3050263431283088E-4</v>
      </c>
      <c r="AR561">
        <f t="shared" si="449"/>
        <v>-2.8818441410655233</v>
      </c>
      <c r="AT561">
        <f t="shared" si="470"/>
        <v>-262.02400263450221</v>
      </c>
      <c r="AU561">
        <f t="shared" si="471"/>
        <v>-24.100267370212887</v>
      </c>
      <c r="AV561">
        <f t="shared" si="459"/>
        <v>-3.0498733887707998</v>
      </c>
      <c r="AW561">
        <f t="shared" si="460"/>
        <v>-117.90794688734388</v>
      </c>
      <c r="AX561">
        <f t="shared" si="461"/>
        <v>-206.91214156882018</v>
      </c>
      <c r="AY561">
        <f t="shared" si="469"/>
        <v>-2.0887482134703559</v>
      </c>
      <c r="BA561">
        <f t="shared" si="450"/>
        <v>1.1048968179274155</v>
      </c>
      <c r="BB561">
        <f t="shared" si="462"/>
        <v>0.8664344564031834</v>
      </c>
      <c r="BC561">
        <f t="shared" si="463"/>
        <v>-0.96112517530044395</v>
      </c>
      <c r="BD561">
        <f t="shared" si="451"/>
        <v>-235.06841619141167</v>
      </c>
      <c r="BF561">
        <f t="shared" si="452"/>
        <v>-58.849449263384827</v>
      </c>
      <c r="BG561">
        <f t="shared" si="453"/>
        <v>-187.37226570793601</v>
      </c>
      <c r="BH561">
        <f t="shared" si="464"/>
        <v>-7.372265707936009</v>
      </c>
      <c r="BI561">
        <f t="shared" si="465"/>
        <v>-7.372265707936009</v>
      </c>
      <c r="BJ561">
        <f t="shared" si="454"/>
        <v>0</v>
      </c>
      <c r="BK561">
        <f t="shared" si="466"/>
        <v>0</v>
      </c>
      <c r="BM561">
        <f t="shared" si="467"/>
        <v>-59.715883719788003</v>
      </c>
      <c r="BN561">
        <f t="shared" si="455"/>
        <v>-132.30384951652437</v>
      </c>
      <c r="BQ561" s="56">
        <f t="shared" si="468"/>
        <v>17.768395256688322</v>
      </c>
    </row>
    <row r="562" spans="1:69" x14ac:dyDescent="0.2">
      <c r="A562">
        <f t="shared" si="472"/>
        <v>1740000</v>
      </c>
      <c r="B562">
        <f t="shared" si="456"/>
        <v>1740</v>
      </c>
      <c r="C562">
        <f t="shared" si="425"/>
        <v>1.4816371244869591</v>
      </c>
      <c r="D562">
        <f t="shared" si="426"/>
        <v>0.82992772458436515</v>
      </c>
      <c r="F562">
        <f t="shared" si="427"/>
        <v>4.6296977290382896E-5</v>
      </c>
      <c r="G562">
        <f t="shared" si="428"/>
        <v>3.9490883121870582E-3</v>
      </c>
      <c r="H562">
        <f t="shared" si="429"/>
        <v>-3.1376435616878133</v>
      </c>
      <c r="J562">
        <f t="shared" si="430"/>
        <v>15</v>
      </c>
      <c r="M562">
        <f t="shared" si="431"/>
        <v>4.5848801104415176E-4</v>
      </c>
      <c r="N562">
        <f t="shared" si="432"/>
        <v>-1.5707963250000001</v>
      </c>
      <c r="O562">
        <f t="shared" si="433"/>
        <v>196.79190436732574</v>
      </c>
      <c r="P562">
        <f t="shared" si="434"/>
        <v>1.5657147950779864</v>
      </c>
      <c r="Q562">
        <f t="shared" si="435"/>
        <v>207.06418310001533</v>
      </c>
      <c r="R562">
        <f t="shared" si="436"/>
        <v>1.5659668875732677</v>
      </c>
      <c r="S562">
        <f t="shared" si="437"/>
        <v>0.91768839945035863</v>
      </c>
      <c r="T562">
        <f t="shared" si="438"/>
        <v>-0.40857376744049462</v>
      </c>
      <c r="U562">
        <f t="shared" si="439"/>
        <v>9.6103041735537589E-2</v>
      </c>
      <c r="V562">
        <f t="shared" si="440"/>
        <v>-1.4745447355133552</v>
      </c>
      <c r="X562">
        <f t="shared" si="457"/>
        <v>-55.414833629969856</v>
      </c>
      <c r="Y562">
        <f t="shared" si="441"/>
        <v>-150.68497719877462</v>
      </c>
      <c r="Z562">
        <f t="shared" si="458"/>
        <v>29.315022801225382</v>
      </c>
      <c r="AC562">
        <v>1</v>
      </c>
      <c r="AD562">
        <f t="shared" si="442"/>
        <v>196.78936359600002</v>
      </c>
      <c r="AE562">
        <f t="shared" si="443"/>
        <v>-2.1514474235843721</v>
      </c>
      <c r="AF562">
        <f t="shared" si="444"/>
        <v>0.20772210601800001</v>
      </c>
      <c r="AG562">
        <f t="shared" si="473"/>
        <v>8.2891896409597816</v>
      </c>
      <c r="AH562">
        <f t="shared" si="474"/>
        <v>-90.668037493386322</v>
      </c>
      <c r="AJ562">
        <f t="shared" si="445"/>
        <v>10500</v>
      </c>
      <c r="AK562">
        <f t="shared" si="446"/>
        <v>4545.834299067601</v>
      </c>
      <c r="AL562">
        <v>1</v>
      </c>
      <c r="AM562">
        <f t="shared" si="447"/>
        <v>207.06176837571121</v>
      </c>
      <c r="AN562">
        <f t="shared" si="475"/>
        <v>22.198383770282465</v>
      </c>
      <c r="AO562">
        <f t="shared" si="476"/>
        <v>-50.602299489772861</v>
      </c>
      <c r="AQ562">
        <f t="shared" si="448"/>
        <v>8.2573648882477133E-4</v>
      </c>
      <c r="AR562">
        <f t="shared" si="449"/>
        <v>-2.8735629811102044</v>
      </c>
      <c r="AT562">
        <f t="shared" si="470"/>
        <v>-260.53347142455766</v>
      </c>
      <c r="AU562">
        <f t="shared" si="471"/>
        <v>-23.894376402592638</v>
      </c>
      <c r="AV562">
        <f t="shared" si="459"/>
        <v>-3.0501352377112321</v>
      </c>
      <c r="AW562">
        <f t="shared" si="460"/>
        <v>-117.10499343344657</v>
      </c>
      <c r="AX562">
        <f t="shared" si="461"/>
        <v>-206.31664296538554</v>
      </c>
      <c r="AY562">
        <f t="shared" si="469"/>
        <v>-2.0870503062953691</v>
      </c>
      <c r="BA562">
        <f t="shared" si="450"/>
        <v>1.1028204517536624</v>
      </c>
      <c r="BB562">
        <f t="shared" si="462"/>
        <v>0.85009622958515707</v>
      </c>
      <c r="BC562">
        <f t="shared" si="463"/>
        <v>-0.96308493141586293</v>
      </c>
      <c r="BD562">
        <f t="shared" si="451"/>
        <v>-235.18070194582845</v>
      </c>
      <c r="BF562">
        <f t="shared" si="452"/>
        <v>-58.902188821829938</v>
      </c>
      <c r="BG562">
        <f t="shared" si="453"/>
        <v>-187.4030798784419</v>
      </c>
      <c r="BH562">
        <f t="shared" si="464"/>
        <v>-7.4030798784419005</v>
      </c>
      <c r="BI562">
        <f t="shared" si="465"/>
        <v>-7.4030798784419005</v>
      </c>
      <c r="BJ562">
        <f t="shared" si="454"/>
        <v>0</v>
      </c>
      <c r="BK562">
        <f t="shared" si="466"/>
        <v>0</v>
      </c>
      <c r="BM562">
        <f t="shared" si="467"/>
        <v>-59.752285051415093</v>
      </c>
      <c r="BN562">
        <f t="shared" si="455"/>
        <v>-132.22237793261348</v>
      </c>
      <c r="BQ562" s="56">
        <f t="shared" si="468"/>
        <v>17.752057029870294</v>
      </c>
    </row>
    <row r="563" spans="1:69" x14ac:dyDescent="0.2">
      <c r="A563">
        <f t="shared" si="472"/>
        <v>1745000</v>
      </c>
      <c r="B563">
        <f t="shared" si="456"/>
        <v>1745</v>
      </c>
      <c r="C563">
        <f t="shared" si="425"/>
        <v>1.4839567658492692</v>
      </c>
      <c r="D563">
        <f t="shared" si="426"/>
        <v>0.8313565755097333</v>
      </c>
      <c r="F563">
        <f t="shared" si="427"/>
        <v>4.6032034817868162E-5</v>
      </c>
      <c r="G563">
        <f t="shared" si="428"/>
        <v>3.9377719259320173E-3</v>
      </c>
      <c r="H563">
        <f t="shared" si="429"/>
        <v>-3.1376548780740681</v>
      </c>
      <c r="J563">
        <f t="shared" si="430"/>
        <v>15</v>
      </c>
      <c r="M563">
        <f t="shared" si="431"/>
        <v>4.5717429181479886E-4</v>
      </c>
      <c r="N563">
        <f t="shared" si="432"/>
        <v>-1.5707963250000001</v>
      </c>
      <c r="O563">
        <f t="shared" si="433"/>
        <v>197.35738376427227</v>
      </c>
      <c r="P563">
        <f t="shared" si="434"/>
        <v>1.5657293550912135</v>
      </c>
      <c r="Q563">
        <f t="shared" si="435"/>
        <v>207.65918126265427</v>
      </c>
      <c r="R563">
        <f t="shared" si="436"/>
        <v>1.5659807252937592</v>
      </c>
      <c r="S563">
        <f t="shared" si="437"/>
        <v>0.91727183439263293</v>
      </c>
      <c r="T563">
        <f t="shared" si="438"/>
        <v>-0.4096209886697274</v>
      </c>
      <c r="U563">
        <f t="shared" si="439"/>
        <v>9.5830207265767173E-2</v>
      </c>
      <c r="V563">
        <f t="shared" si="440"/>
        <v>-1.474818835076197</v>
      </c>
      <c r="X563">
        <f t="shared" si="457"/>
        <v>-55.454810326116458</v>
      </c>
      <c r="Y563">
        <f t="shared" si="441"/>
        <v>-150.67783748684019</v>
      </c>
      <c r="Z563">
        <f t="shared" si="458"/>
        <v>29.32216251315981</v>
      </c>
      <c r="AC563">
        <v>1</v>
      </c>
      <c r="AD563">
        <f t="shared" si="442"/>
        <v>197.35485027300001</v>
      </c>
      <c r="AE563">
        <f t="shared" si="443"/>
        <v>-2.163829829237681</v>
      </c>
      <c r="AF563">
        <f t="shared" si="444"/>
        <v>0.20831900862149999</v>
      </c>
      <c r="AG563">
        <f t="shared" si="473"/>
        <v>8.2421907877295393</v>
      </c>
      <c r="AH563">
        <f t="shared" si="474"/>
        <v>-90.41276842373243</v>
      </c>
      <c r="AJ563">
        <f t="shared" si="445"/>
        <v>10500</v>
      </c>
      <c r="AK563">
        <f t="shared" si="446"/>
        <v>4558.8970413063007</v>
      </c>
      <c r="AL563">
        <v>1</v>
      </c>
      <c r="AM563">
        <f t="shared" si="447"/>
        <v>207.65677345725061</v>
      </c>
      <c r="AN563">
        <f t="shared" si="475"/>
        <v>22.196985335598452</v>
      </c>
      <c r="AO563">
        <f t="shared" si="476"/>
        <v>-50.457313961980731</v>
      </c>
      <c r="AQ563">
        <f t="shared" si="448"/>
        <v>8.2101125434017334E-4</v>
      </c>
      <c r="AR563">
        <f t="shared" si="449"/>
        <v>-2.8653292776472052</v>
      </c>
      <c r="AT563">
        <f t="shared" si="470"/>
        <v>-259.05558550626017</v>
      </c>
      <c r="AU563">
        <f t="shared" si="471"/>
        <v>-23.690820476447467</v>
      </c>
      <c r="AV563">
        <f t="shared" si="459"/>
        <v>-3.0503956006313291</v>
      </c>
      <c r="AW563">
        <f t="shared" si="460"/>
        <v>-116.30893569583941</v>
      </c>
      <c r="AX563">
        <f t="shared" si="461"/>
        <v>-205.72456521751738</v>
      </c>
      <c r="AY563">
        <f t="shared" si="469"/>
        <v>-2.0853575386709506</v>
      </c>
      <c r="BA563">
        <f t="shared" si="450"/>
        <v>1.1007493890246653</v>
      </c>
      <c r="BB563">
        <f t="shared" si="462"/>
        <v>0.83376906149495011</v>
      </c>
      <c r="BC563">
        <f t="shared" si="463"/>
        <v>-0.96503806196037845</v>
      </c>
      <c r="BD563">
        <f t="shared" si="451"/>
        <v>-235.29260808299514</v>
      </c>
      <c r="BF563">
        <f t="shared" si="452"/>
        <v>-58.954777332007765</v>
      </c>
      <c r="BG563">
        <f t="shared" si="453"/>
        <v>-187.43376726911058</v>
      </c>
      <c r="BH563">
        <f t="shared" si="464"/>
        <v>-7.4337672691105752</v>
      </c>
      <c r="BI563">
        <f t="shared" si="465"/>
        <v>-7.4337672691105752</v>
      </c>
      <c r="BJ563">
        <f t="shared" si="454"/>
        <v>0</v>
      </c>
      <c r="BK563">
        <f t="shared" si="466"/>
        <v>0</v>
      </c>
      <c r="BM563">
        <f t="shared" si="467"/>
        <v>-59.788546393502713</v>
      </c>
      <c r="BN563">
        <f t="shared" si="455"/>
        <v>-132.14115918611543</v>
      </c>
      <c r="BQ563" s="56">
        <f t="shared" si="468"/>
        <v>17.735729861780086</v>
      </c>
    </row>
    <row r="564" spans="1:69" x14ac:dyDescent="0.2">
      <c r="A564">
        <f t="shared" si="472"/>
        <v>1750000</v>
      </c>
      <c r="B564">
        <f t="shared" si="456"/>
        <v>1750</v>
      </c>
      <c r="C564">
        <f t="shared" si="425"/>
        <v>1.4862794274194937</v>
      </c>
      <c r="D564">
        <f t="shared" si="426"/>
        <v>0.83278096350356134</v>
      </c>
      <c r="F564">
        <f t="shared" si="427"/>
        <v>4.5769360153101524E-5</v>
      </c>
      <c r="G564">
        <f t="shared" si="428"/>
        <v>3.9265202128237701E-3</v>
      </c>
      <c r="H564">
        <f t="shared" si="429"/>
        <v>-3.1376661297871764</v>
      </c>
      <c r="J564">
        <f t="shared" si="430"/>
        <v>15</v>
      </c>
      <c r="M564">
        <f t="shared" si="431"/>
        <v>4.558680795524709E-4</v>
      </c>
      <c r="N564">
        <f t="shared" si="432"/>
        <v>-1.5707963250000001</v>
      </c>
      <c r="O564">
        <f t="shared" si="433"/>
        <v>197.92286320281829</v>
      </c>
      <c r="P564">
        <f t="shared" si="434"/>
        <v>1.5657438319064947</v>
      </c>
      <c r="Q564">
        <f t="shared" si="435"/>
        <v>208.25417946482906</v>
      </c>
      <c r="R564">
        <f t="shared" si="436"/>
        <v>1.5659944839433906</v>
      </c>
      <c r="S564">
        <f t="shared" si="437"/>
        <v>0.91685464322472177</v>
      </c>
      <c r="T564">
        <f t="shared" si="438"/>
        <v>-0.41066725845668539</v>
      </c>
      <c r="U564">
        <f t="shared" si="439"/>
        <v>9.5558910434318661E-2</v>
      </c>
      <c r="V564">
        <f t="shared" si="440"/>
        <v>-1.4750913826990295</v>
      </c>
      <c r="X564">
        <f t="shared" si="457"/>
        <v>-55.494657618801043</v>
      </c>
      <c r="Y564">
        <f t="shared" si="441"/>
        <v>-150.67081564062738</v>
      </c>
      <c r="Z564">
        <f t="shared" si="458"/>
        <v>29.329184359372618</v>
      </c>
      <c r="AC564">
        <v>1</v>
      </c>
      <c r="AD564">
        <f t="shared" si="442"/>
        <v>197.92033695000001</v>
      </c>
      <c r="AE564">
        <f t="shared" si="443"/>
        <v>-2.1762477654667522</v>
      </c>
      <c r="AF564">
        <f t="shared" si="444"/>
        <v>0.20891591122499997</v>
      </c>
      <c r="AG564">
        <f t="shared" si="473"/>
        <v>8.1955893012180034</v>
      </c>
      <c r="AH564">
        <f t="shared" si="474"/>
        <v>-90.158919887978982</v>
      </c>
      <c r="AJ564">
        <f t="shared" si="445"/>
        <v>10500</v>
      </c>
      <c r="AK564">
        <f t="shared" si="446"/>
        <v>4571.9597835450013</v>
      </c>
      <c r="AL564">
        <v>1</v>
      </c>
      <c r="AM564">
        <f t="shared" si="447"/>
        <v>208.25177853879003</v>
      </c>
      <c r="AN564">
        <f t="shared" si="475"/>
        <v>22.19559886999706</v>
      </c>
      <c r="AO564">
        <f t="shared" si="476"/>
        <v>-50.313156865444753</v>
      </c>
      <c r="AQ564">
        <f t="shared" si="448"/>
        <v>8.163264639733499E-4</v>
      </c>
      <c r="AR564">
        <f t="shared" si="449"/>
        <v>-2.8571426239067246</v>
      </c>
      <c r="AT564">
        <f t="shared" si="470"/>
        <v>-257.59020266090204</v>
      </c>
      <c r="AU564">
        <f t="shared" si="471"/>
        <v>-23.489566632811698</v>
      </c>
      <c r="AV564">
        <f t="shared" si="459"/>
        <v>-3.0506544901043879</v>
      </c>
      <c r="AW564">
        <f t="shared" si="460"/>
        <v>-115.51969493086602</v>
      </c>
      <c r="AX564">
        <f t="shared" si="461"/>
        <v>-205.13587890471493</v>
      </c>
      <c r="AY564">
        <f t="shared" si="469"/>
        <v>-2.0836698871902035</v>
      </c>
      <c r="BA564">
        <f t="shared" si="450"/>
        <v>1.0986836262821391</v>
      </c>
      <c r="BB564">
        <f t="shared" si="462"/>
        <v>0.81745304518416662</v>
      </c>
      <c r="BC564">
        <f t="shared" si="463"/>
        <v>-0.96698460291418442</v>
      </c>
      <c r="BD564">
        <f t="shared" si="451"/>
        <v>-235.40413666442504</v>
      </c>
      <c r="BF564">
        <f t="shared" si="452"/>
        <v>-59.007215621867132</v>
      </c>
      <c r="BG564">
        <f t="shared" si="453"/>
        <v>-187.46432910568586</v>
      </c>
      <c r="BH564">
        <f t="shared" si="464"/>
        <v>-7.4643291056858629</v>
      </c>
      <c r="BI564">
        <f t="shared" si="465"/>
        <v>-7.4643291056858629</v>
      </c>
      <c r="BJ564">
        <f t="shared" si="454"/>
        <v>0</v>
      </c>
      <c r="BK564">
        <f t="shared" si="466"/>
        <v>0</v>
      </c>
      <c r="BM564">
        <f t="shared" si="467"/>
        <v>-59.824668667051299</v>
      </c>
      <c r="BN564">
        <f t="shared" si="455"/>
        <v>-132.06019244126085</v>
      </c>
      <c r="BQ564" s="56">
        <f t="shared" si="468"/>
        <v>17.719413845469305</v>
      </c>
    </row>
    <row r="565" spans="1:69" x14ac:dyDescent="0.2">
      <c r="A565">
        <f t="shared" si="472"/>
        <v>1755000</v>
      </c>
      <c r="B565">
        <f t="shared" si="456"/>
        <v>1755</v>
      </c>
      <c r="C565">
        <f t="shared" si="425"/>
        <v>1.4886050950603957</v>
      </c>
      <c r="D565">
        <f t="shared" si="426"/>
        <v>0.83420090368997646</v>
      </c>
      <c r="F565">
        <f t="shared" si="427"/>
        <v>4.550892748729832E-5</v>
      </c>
      <c r="G565">
        <f t="shared" si="428"/>
        <v>3.9153326200086543E-3</v>
      </c>
      <c r="H565">
        <f t="shared" si="429"/>
        <v>-3.1376773173799917</v>
      </c>
      <c r="J565">
        <f t="shared" si="430"/>
        <v>15</v>
      </c>
      <c r="M565">
        <f t="shared" si="431"/>
        <v>4.5456931009505645E-4</v>
      </c>
      <c r="N565">
        <f t="shared" si="432"/>
        <v>-1.5707963250000001</v>
      </c>
      <c r="O565">
        <f t="shared" si="433"/>
        <v>198.48834268260828</v>
      </c>
      <c r="P565">
        <f t="shared" si="434"/>
        <v>1.5657582262348999</v>
      </c>
      <c r="Q565">
        <f t="shared" si="435"/>
        <v>208.84917770620189</v>
      </c>
      <c r="R565">
        <f t="shared" si="436"/>
        <v>1.5660081641979604</v>
      </c>
      <c r="S565">
        <f t="shared" si="437"/>
        <v>0.91643682953880456</v>
      </c>
      <c r="T565">
        <f t="shared" si="438"/>
        <v>-0.41171257580987619</v>
      </c>
      <c r="U565">
        <f t="shared" si="439"/>
        <v>9.5289138339230445E-2</v>
      </c>
      <c r="V565">
        <f t="shared" si="440"/>
        <v>-1.4753623914850218</v>
      </c>
      <c r="X565">
        <f t="shared" si="457"/>
        <v>-55.534376374715109</v>
      </c>
      <c r="Y565">
        <f t="shared" si="441"/>
        <v>-150.66391143975</v>
      </c>
      <c r="Z565">
        <f t="shared" si="458"/>
        <v>29.336088560250005</v>
      </c>
      <c r="AC565">
        <v>1</v>
      </c>
      <c r="AD565">
        <f t="shared" si="442"/>
        <v>198.485823627</v>
      </c>
      <c r="AE565">
        <f t="shared" si="443"/>
        <v>-2.1887012322715864</v>
      </c>
      <c r="AF565">
        <f t="shared" si="444"/>
        <v>0.20951281382850001</v>
      </c>
      <c r="AG565">
        <f t="shared" si="473"/>
        <v>8.1493807282002511</v>
      </c>
      <c r="AH565">
        <f t="shared" si="474"/>
        <v>-89.906480171094287</v>
      </c>
      <c r="AJ565">
        <f t="shared" si="445"/>
        <v>10500</v>
      </c>
      <c r="AK565">
        <f t="shared" si="446"/>
        <v>4585.022525783701</v>
      </c>
      <c r="AL565">
        <v>1</v>
      </c>
      <c r="AM565">
        <f t="shared" si="447"/>
        <v>208.84678362032943</v>
      </c>
      <c r="AN565">
        <f t="shared" si="475"/>
        <v>22.194224237278188</v>
      </c>
      <c r="AO565">
        <f t="shared" si="476"/>
        <v>-50.169821120208042</v>
      </c>
      <c r="AQ565">
        <f t="shared" si="448"/>
        <v>8.1168165747991835E-4</v>
      </c>
      <c r="AR565">
        <f t="shared" si="449"/>
        <v>-2.8490026177545134</v>
      </c>
      <c r="AT565">
        <f t="shared" si="470"/>
        <v>-256.137182657685</v>
      </c>
      <c r="AU565">
        <f t="shared" si="471"/>
        <v>-23.290582468564157</v>
      </c>
      <c r="AV565">
        <f t="shared" si="459"/>
        <v>-3.0509119185627229</v>
      </c>
      <c r="AW565">
        <f t="shared" si="460"/>
        <v>-114.73719351578191</v>
      </c>
      <c r="AX565">
        <f t="shared" si="461"/>
        <v>-204.55055494323886</v>
      </c>
      <c r="AY565">
        <f t="shared" si="469"/>
        <v>-2.0819873285446167</v>
      </c>
      <c r="BA565">
        <f t="shared" si="450"/>
        <v>1.0966231598312122</v>
      </c>
      <c r="BB565">
        <f t="shared" si="462"/>
        <v>0.80114827214358741</v>
      </c>
      <c r="BC565">
        <f t="shared" si="463"/>
        <v>-0.96892459001810627</v>
      </c>
      <c r="BD565">
        <f t="shared" si="451"/>
        <v>-235.51528973791656</v>
      </c>
      <c r="BF565">
        <f t="shared" si="452"/>
        <v>-59.059504512859803</v>
      </c>
      <c r="BG565">
        <f t="shared" si="453"/>
        <v>-187.49476660109383</v>
      </c>
      <c r="BH565">
        <f t="shared" si="464"/>
        <v>-7.4947666010938292</v>
      </c>
      <c r="BI565">
        <f t="shared" si="465"/>
        <v>-7.4947666010938292</v>
      </c>
      <c r="BJ565">
        <f t="shared" si="454"/>
        <v>0</v>
      </c>
      <c r="BK565">
        <f t="shared" si="466"/>
        <v>0</v>
      </c>
      <c r="BM565">
        <f t="shared" si="467"/>
        <v>-59.860652785003396</v>
      </c>
      <c r="BN565">
        <f t="shared" si="455"/>
        <v>-131.97947686317727</v>
      </c>
      <c r="BQ565" s="56">
        <f t="shared" si="468"/>
        <v>17.703109072428724</v>
      </c>
    </row>
    <row r="566" spans="1:69" x14ac:dyDescent="0.2">
      <c r="A566">
        <f t="shared" si="472"/>
        <v>1760000</v>
      </c>
      <c r="B566">
        <f t="shared" si="456"/>
        <v>1760</v>
      </c>
      <c r="C566">
        <f t="shared" si="425"/>
        <v>1.4909337547047083</v>
      </c>
      <c r="D566">
        <f t="shared" si="426"/>
        <v>0.83561641117054353</v>
      </c>
      <c r="F566">
        <f t="shared" si="427"/>
        <v>4.5250711377782821E-5</v>
      </c>
      <c r="G566">
        <f t="shared" si="428"/>
        <v>3.9042086009167367E-3</v>
      </c>
      <c r="H566">
        <f t="shared" si="429"/>
        <v>-3.1376884413990833</v>
      </c>
      <c r="J566">
        <f t="shared" si="430"/>
        <v>15</v>
      </c>
      <c r="M566">
        <f t="shared" si="431"/>
        <v>4.5327792000955907E-4</v>
      </c>
      <c r="N566">
        <f t="shared" si="432"/>
        <v>-1.5707963250000001</v>
      </c>
      <c r="O566">
        <f t="shared" si="433"/>
        <v>199.05382220329076</v>
      </c>
      <c r="P566">
        <f t="shared" si="434"/>
        <v>1.5657725387794181</v>
      </c>
      <c r="Q566">
        <f t="shared" si="435"/>
        <v>209.44417598643858</v>
      </c>
      <c r="R566">
        <f t="shared" si="436"/>
        <v>1.566021766725588</v>
      </c>
      <c r="S566">
        <f t="shared" si="437"/>
        <v>0.9160183969229071</v>
      </c>
      <c r="T566">
        <f t="shared" si="438"/>
        <v>-0.41275693974793698</v>
      </c>
      <c r="U566">
        <f t="shared" si="439"/>
        <v>9.5020878221802232E-2</v>
      </c>
      <c r="V566">
        <f t="shared" si="440"/>
        <v>-1.4756318743906998</v>
      </c>
      <c r="X566">
        <f t="shared" si="457"/>
        <v>-55.573967452894323</v>
      </c>
      <c r="Y566">
        <f t="shared" si="441"/>
        <v>-150.65712465783571</v>
      </c>
      <c r="Z566">
        <f t="shared" si="458"/>
        <v>29.342875342164291</v>
      </c>
      <c r="AC566">
        <v>1</v>
      </c>
      <c r="AD566">
        <f t="shared" si="442"/>
        <v>199.051310304</v>
      </c>
      <c r="AE566">
        <f t="shared" si="443"/>
        <v>-2.2011902296521839</v>
      </c>
      <c r="AF566">
        <f t="shared" si="444"/>
        <v>0.21010971643199999</v>
      </c>
      <c r="AG566">
        <f t="shared" si="473"/>
        <v>8.1035606774675628</v>
      </c>
      <c r="AH566">
        <f t="shared" si="474"/>
        <v>-89.655437685252409</v>
      </c>
      <c r="AJ566">
        <f t="shared" si="445"/>
        <v>10500</v>
      </c>
      <c r="AK566">
        <f t="shared" si="446"/>
        <v>4598.0852680224007</v>
      </c>
      <c r="AL566">
        <v>1</v>
      </c>
      <c r="AM566">
        <f t="shared" si="447"/>
        <v>209.44178870186883</v>
      </c>
      <c r="AN566">
        <f t="shared" si="475"/>
        <v>22.192861303173565</v>
      </c>
      <c r="AO566">
        <f t="shared" si="476"/>
        <v>-50.027299726758564</v>
      </c>
      <c r="AQ566">
        <f t="shared" si="448"/>
        <v>8.0707638114375794E-4</v>
      </c>
      <c r="AR566">
        <f t="shared" si="449"/>
        <v>-2.8409088616260281</v>
      </c>
      <c r="AT566">
        <f t="shared" si="470"/>
        <v>-254.69638722056777</v>
      </c>
      <c r="AU566">
        <f t="shared" si="471"/>
        <v>-23.09383612553869</v>
      </c>
      <c r="AV566">
        <f t="shared" si="459"/>
        <v>-3.0511678982996266</v>
      </c>
      <c r="AW566">
        <f t="shared" si="460"/>
        <v>-113.96135492965932</v>
      </c>
      <c r="AX566">
        <f t="shared" si="461"/>
        <v>-203.96856458130088</v>
      </c>
      <c r="AY566">
        <f t="shared" si="469"/>
        <v>-2.0803098395241051</v>
      </c>
      <c r="BA566">
        <f t="shared" si="450"/>
        <v>1.094567985745138</v>
      </c>
      <c r="BB566">
        <f t="shared" si="462"/>
        <v>0.78485483232275721</v>
      </c>
      <c r="BC566">
        <f t="shared" si="463"/>
        <v>-0.97085805877552156</v>
      </c>
      <c r="BD566">
        <f t="shared" si="451"/>
        <v>-235.62606933766347</v>
      </c>
      <c r="BF566">
        <f t="shared" si="452"/>
        <v>-59.111644820008365</v>
      </c>
      <c r="BG566">
        <f t="shared" si="453"/>
        <v>-187.52508095558821</v>
      </c>
      <c r="BH566">
        <f t="shared" si="464"/>
        <v>-7.5250809555882086</v>
      </c>
      <c r="BI566">
        <f t="shared" si="465"/>
        <v>-7.5250809555882086</v>
      </c>
      <c r="BJ566">
        <f t="shared" si="454"/>
        <v>0</v>
      </c>
      <c r="BK566">
        <f t="shared" si="466"/>
        <v>0</v>
      </c>
      <c r="BM566">
        <f t="shared" si="467"/>
        <v>-59.896499652331123</v>
      </c>
      <c r="BN566">
        <f t="shared" si="455"/>
        <v>-131.89901161792477</v>
      </c>
      <c r="BQ566" s="56">
        <f t="shared" si="468"/>
        <v>17.686815632607892</v>
      </c>
    </row>
    <row r="567" spans="1:69" x14ac:dyDescent="0.2">
      <c r="A567">
        <f t="shared" si="472"/>
        <v>1765000</v>
      </c>
      <c r="B567">
        <f t="shared" si="456"/>
        <v>1765</v>
      </c>
      <c r="C567">
        <f t="shared" si="425"/>
        <v>1.4932653923548707</v>
      </c>
      <c r="D567">
        <f t="shared" si="426"/>
        <v>0.83702750102374091</v>
      </c>
      <c r="F567">
        <f t="shared" si="427"/>
        <v>4.4994686741773681E-5</v>
      </c>
      <c r="G567">
        <f t="shared" si="428"/>
        <v>3.8931476151727847E-3</v>
      </c>
      <c r="H567">
        <f t="shared" si="429"/>
        <v>-3.1376995023848275</v>
      </c>
      <c r="J567">
        <f t="shared" si="430"/>
        <v>15</v>
      </c>
      <c r="M567">
        <f t="shared" si="431"/>
        <v>4.5199384658177E-4</v>
      </c>
      <c r="N567">
        <f t="shared" si="432"/>
        <v>-1.5707963250000001</v>
      </c>
      <c r="O567">
        <f t="shared" si="433"/>
        <v>199.61930176451818</v>
      </c>
      <c r="P567">
        <f t="shared" si="434"/>
        <v>1.5657867702350736</v>
      </c>
      <c r="Q567">
        <f t="shared" si="435"/>
        <v>210.03917430520895</v>
      </c>
      <c r="R567">
        <f t="shared" si="436"/>
        <v>1.5660352921868226</v>
      </c>
      <c r="S567">
        <f t="shared" si="437"/>
        <v>0.91559934896084227</v>
      </c>
      <c r="T567">
        <f t="shared" si="438"/>
        <v>-0.41380034929961373</v>
      </c>
      <c r="U567">
        <f t="shared" si="439"/>
        <v>9.4754117464621784E-2</v>
      </c>
      <c r="V567">
        <f t="shared" si="440"/>
        <v>-1.4758998442279856</v>
      </c>
      <c r="X567">
        <f t="shared" si="457"/>
        <v>-55.613431704800156</v>
      </c>
      <c r="Y567">
        <f t="shared" si="441"/>
        <v>-150.65045506266449</v>
      </c>
      <c r="Z567">
        <f t="shared" si="458"/>
        <v>29.349544937335509</v>
      </c>
      <c r="AC567">
        <v>1</v>
      </c>
      <c r="AD567">
        <f t="shared" si="442"/>
        <v>199.61679698100002</v>
      </c>
      <c r="AE567">
        <f t="shared" si="443"/>
        <v>-2.2137147576085434</v>
      </c>
      <c r="AF567">
        <f t="shared" si="444"/>
        <v>0.21070661903549998</v>
      </c>
      <c r="AG567">
        <f t="shared" si="473"/>
        <v>8.0581248187971894</v>
      </c>
      <c r="AH567">
        <f t="shared" si="474"/>
        <v>-89.405780968129449</v>
      </c>
      <c r="AJ567">
        <f t="shared" si="445"/>
        <v>10500</v>
      </c>
      <c r="AK567">
        <f t="shared" si="446"/>
        <v>4611.1480102611004</v>
      </c>
      <c r="AL567">
        <v>1</v>
      </c>
      <c r="AM567">
        <f t="shared" si="447"/>
        <v>210.03679378340823</v>
      </c>
      <c r="AN567">
        <f t="shared" si="475"/>
        <v>22.191509935313942</v>
      </c>
      <c r="AO567">
        <f t="shared" si="476"/>
        <v>-49.885585764889804</v>
      </c>
      <c r="AQ567">
        <f t="shared" si="448"/>
        <v>8.0251018766620483E-4</v>
      </c>
      <c r="AR567">
        <f t="shared" si="449"/>
        <v>-2.8328609624617034</v>
      </c>
      <c r="AT567">
        <f t="shared" si="470"/>
        <v>-253.26767999575486</v>
      </c>
      <c r="AU567">
        <f t="shared" si="471"/>
        <v>-22.899296279877522</v>
      </c>
      <c r="AV567">
        <f t="shared" si="459"/>
        <v>-3.0514224414713031</v>
      </c>
      <c r="AW567">
        <f t="shared" si="460"/>
        <v>-113.19210373467077</v>
      </c>
      <c r="AX567">
        <f t="shared" si="461"/>
        <v>-203.38987939433571</v>
      </c>
      <c r="AY567">
        <f t="shared" si="469"/>
        <v>-2.0786373970170358</v>
      </c>
      <c r="BA567">
        <f t="shared" si="450"/>
        <v>1.0925180998699291</v>
      </c>
      <c r="BB567">
        <f t="shared" si="462"/>
        <v>0.76857281414930212</v>
      </c>
      <c r="BC567">
        <f t="shared" si="463"/>
        <v>-0.97278504445426739</v>
      </c>
      <c r="BD567">
        <f t="shared" si="451"/>
        <v>-235.73647748436389</v>
      </c>
      <c r="BF567">
        <f t="shared" si="452"/>
        <v>-59.163637351973279</v>
      </c>
      <c r="BG567">
        <f t="shared" si="453"/>
        <v>-187.5552733568955</v>
      </c>
      <c r="BH567">
        <f t="shared" si="464"/>
        <v>-7.5552733568954977</v>
      </c>
      <c r="BI567">
        <f t="shared" si="465"/>
        <v>-7.5552733568954977</v>
      </c>
      <c r="BJ567">
        <f t="shared" si="454"/>
        <v>0</v>
      </c>
      <c r="BK567">
        <f t="shared" si="466"/>
        <v>0</v>
      </c>
      <c r="BM567">
        <f t="shared" si="467"/>
        <v>-59.932210166122587</v>
      </c>
      <c r="BN567">
        <f t="shared" si="455"/>
        <v>-131.81879587253158</v>
      </c>
      <c r="BQ567" s="56">
        <f t="shared" si="468"/>
        <v>17.67053361443444</v>
      </c>
    </row>
    <row r="568" spans="1:69" x14ac:dyDescent="0.2">
      <c r="A568">
        <f t="shared" si="472"/>
        <v>1770000</v>
      </c>
      <c r="B568">
        <f t="shared" si="456"/>
        <v>1770</v>
      </c>
      <c r="C568">
        <f t="shared" si="425"/>
        <v>1.495599994082766</v>
      </c>
      <c r="D568">
        <f t="shared" si="426"/>
        <v>0.83843418830444916</v>
      </c>
      <c r="F568">
        <f t="shared" si="427"/>
        <v>4.4740828850292032E-5</v>
      </c>
      <c r="G568">
        <f t="shared" si="428"/>
        <v>3.8821491285087437E-3</v>
      </c>
      <c r="H568">
        <f t="shared" si="429"/>
        <v>-3.1377105008714916</v>
      </c>
      <c r="J568">
        <f t="shared" si="430"/>
        <v>15</v>
      </c>
      <c r="M568">
        <f t="shared" si="431"/>
        <v>4.5071702780611532E-4</v>
      </c>
      <c r="N568">
        <f t="shared" si="432"/>
        <v>-1.5707963250000001</v>
      </c>
      <c r="O568">
        <f t="shared" si="433"/>
        <v>200.18478136594692</v>
      </c>
      <c r="P568">
        <f t="shared" si="434"/>
        <v>1.5658009212890367</v>
      </c>
      <c r="Q568">
        <f t="shared" si="435"/>
        <v>210.63417266218639</v>
      </c>
      <c r="R568">
        <f t="shared" si="436"/>
        <v>1.566048741234749</v>
      </c>
      <c r="S568">
        <f t="shared" si="437"/>
        <v>0.91517968923215509</v>
      </c>
      <c r="T568">
        <f t="shared" si="438"/>
        <v>-0.41484280350373887</v>
      </c>
      <c r="U568">
        <f t="shared" si="439"/>
        <v>9.448884358962395E-2</v>
      </c>
      <c r="V568">
        <f t="shared" si="440"/>
        <v>-1.4761663136662027</v>
      </c>
      <c r="X568">
        <f t="shared" si="457"/>
        <v>-55.652769974400272</v>
      </c>
      <c r="Y568">
        <f t="shared" si="441"/>
        <v>-150.64390241630326</v>
      </c>
      <c r="Z568">
        <f t="shared" si="458"/>
        <v>29.356097583696737</v>
      </c>
      <c r="AC568">
        <v>1</v>
      </c>
      <c r="AD568">
        <f t="shared" si="442"/>
        <v>200.18228365800002</v>
      </c>
      <c r="AE568">
        <f t="shared" si="443"/>
        <v>-2.2262748161406658</v>
      </c>
      <c r="AF568">
        <f t="shared" si="444"/>
        <v>0.21130352163899996</v>
      </c>
      <c r="AG568">
        <f t="shared" si="473"/>
        <v>8.0130688819419085</v>
      </c>
      <c r="AH568">
        <f t="shared" si="474"/>
        <v>-89.157498681226784</v>
      </c>
      <c r="AJ568">
        <f t="shared" si="445"/>
        <v>10500</v>
      </c>
      <c r="AK568">
        <f t="shared" si="446"/>
        <v>4624.2107524998</v>
      </c>
      <c r="AL568">
        <v>1</v>
      </c>
      <c r="AM568">
        <f t="shared" si="447"/>
        <v>210.6317988649476</v>
      </c>
      <c r="AN568">
        <f t="shared" si="475"/>
        <v>22.190170003196986</v>
      </c>
      <c r="AO568">
        <f t="shared" si="476"/>
        <v>-49.744672392580853</v>
      </c>
      <c r="AQ568">
        <f t="shared" si="448"/>
        <v>7.9798263605743592E-4</v>
      </c>
      <c r="AR568">
        <f t="shared" si="449"/>
        <v>-2.824858531643323</v>
      </c>
      <c r="AT568">
        <f t="shared" si="470"/>
        <v>-251.85092651981248</v>
      </c>
      <c r="AU568">
        <f t="shared" si="471"/>
        <v>-22.706932131621159</v>
      </c>
      <c r="AV568">
        <f t="shared" si="459"/>
        <v>-3.0516755600987668</v>
      </c>
      <c r="AW568">
        <f t="shared" si="460"/>
        <v>-112.42936555774247</v>
      </c>
      <c r="AX568">
        <f t="shared" si="461"/>
        <v>-202.81447128035384</v>
      </c>
      <c r="AY568">
        <f t="shared" si="469"/>
        <v>-2.0769699780102502</v>
      </c>
      <c r="BA568">
        <f t="shared" si="450"/>
        <v>1.0904734978289201</v>
      </c>
      <c r="BB568">
        <f t="shared" si="462"/>
        <v>0.75230230454802527</v>
      </c>
      <c r="BC568">
        <f t="shared" si="463"/>
        <v>-0.97470558208851665</v>
      </c>
      <c r="BD568">
        <f t="shared" si="451"/>
        <v>-235.84651618532817</v>
      </c>
      <c r="BF568">
        <f t="shared" si="452"/>
        <v>-59.215482911119004</v>
      </c>
      <c r="BG568">
        <f t="shared" si="453"/>
        <v>-187.58534498035593</v>
      </c>
      <c r="BH568">
        <f t="shared" si="464"/>
        <v>-7.5853449803559272</v>
      </c>
      <c r="BI568">
        <f t="shared" si="465"/>
        <v>-7.5853449803559272</v>
      </c>
      <c r="BJ568">
        <f t="shared" si="454"/>
        <v>0</v>
      </c>
      <c r="BK568">
        <f t="shared" si="466"/>
        <v>0</v>
      </c>
      <c r="BM568">
        <f t="shared" si="467"/>
        <v>-59.967785215667028</v>
      </c>
      <c r="BN568">
        <f t="shared" si="455"/>
        <v>-131.73882879502779</v>
      </c>
      <c r="BQ568" s="56">
        <f t="shared" si="468"/>
        <v>17.654263104833163</v>
      </c>
    </row>
    <row r="569" spans="1:69" x14ac:dyDescent="0.2">
      <c r="A569">
        <f t="shared" si="472"/>
        <v>1775000</v>
      </c>
      <c r="B569">
        <f t="shared" si="456"/>
        <v>1775</v>
      </c>
      <c r="C569">
        <f t="shared" si="425"/>
        <v>1.4979375460294566</v>
      </c>
      <c r="D569">
        <f t="shared" si="426"/>
        <v>0.83983648804344735</v>
      </c>
      <c r="F569">
        <f t="shared" si="427"/>
        <v>4.4489113322189747E-5</v>
      </c>
      <c r="G569">
        <f t="shared" si="428"/>
        <v>3.8712126126777065E-3</v>
      </c>
      <c r="H569">
        <f t="shared" si="429"/>
        <v>-3.1377214373873223</v>
      </c>
      <c r="J569">
        <f t="shared" si="430"/>
        <v>15</v>
      </c>
      <c r="M569">
        <f t="shared" si="431"/>
        <v>4.4944740237567548E-4</v>
      </c>
      <c r="N569">
        <f t="shared" si="432"/>
        <v>-1.5707963250000001</v>
      </c>
      <c r="O569">
        <f t="shared" si="433"/>
        <v>200.7502610072373</v>
      </c>
      <c r="P569">
        <f t="shared" si="434"/>
        <v>1.5658149926207361</v>
      </c>
      <c r="Q569">
        <f t="shared" si="435"/>
        <v>211.22917105704803</v>
      </c>
      <c r="R569">
        <f t="shared" si="436"/>
        <v>1.5660621145150941</v>
      </c>
      <c r="S569">
        <f t="shared" si="437"/>
        <v>0.91475942131206434</v>
      </c>
      <c r="T569">
        <f t="shared" si="438"/>
        <v>-0.41588430140920957</v>
      </c>
      <c r="U569">
        <f t="shared" si="439"/>
        <v>9.4225044256181292E-2</v>
      </c>
      <c r="V569">
        <f t="shared" si="440"/>
        <v>-1.4764312952340484</v>
      </c>
      <c r="X569">
        <f t="shared" si="457"/>
        <v>-55.691983098248095</v>
      </c>
      <c r="Y569">
        <f t="shared" si="441"/>
        <v>-150.63746647523968</v>
      </c>
      <c r="Z569">
        <f t="shared" si="458"/>
        <v>29.362533524760323</v>
      </c>
      <c r="AC569">
        <v>1</v>
      </c>
      <c r="AD569">
        <f t="shared" si="442"/>
        <v>200.74777033500001</v>
      </c>
      <c r="AE569">
        <f t="shared" si="443"/>
        <v>-2.2388704052485506</v>
      </c>
      <c r="AF569">
        <f t="shared" si="444"/>
        <v>0.2119004242425</v>
      </c>
      <c r="AG569">
        <f t="shared" si="473"/>
        <v>7.9683886556390586</v>
      </c>
      <c r="AH569">
        <f t="shared" si="474"/>
        <v>-88.910579608220871</v>
      </c>
      <c r="AJ569">
        <f t="shared" si="445"/>
        <v>10500</v>
      </c>
      <c r="AK569">
        <f t="shared" si="446"/>
        <v>4637.2734947385006</v>
      </c>
      <c r="AL569">
        <v>1</v>
      </c>
      <c r="AM569">
        <f t="shared" si="447"/>
        <v>211.22680394648702</v>
      </c>
      <c r="AN569">
        <f t="shared" si="475"/>
        <v>22.188841378155711</v>
      </c>
      <c r="AO569">
        <f t="shared" si="476"/>
        <v>-49.604552844895252</v>
      </c>
      <c r="AQ569">
        <f t="shared" si="448"/>
        <v>7.9349329152999073E-4</v>
      </c>
      <c r="AR569">
        <f t="shared" si="449"/>
        <v>-2.8169011849314671</v>
      </c>
      <c r="AT569">
        <f t="shared" si="470"/>
        <v>-250.44599418839837</v>
      </c>
      <c r="AU569">
        <f t="shared" si="471"/>
        <v>-22.516713394529294</v>
      </c>
      <c r="AV569">
        <f t="shared" si="459"/>
        <v>-3.0519272660697112</v>
      </c>
      <c r="AW569">
        <f t="shared" si="460"/>
        <v>-111.67306707256925</v>
      </c>
      <c r="AX569">
        <f t="shared" si="461"/>
        <v>-202.24231245537311</v>
      </c>
      <c r="AY569">
        <f t="shared" si="469"/>
        <v>-2.0753075595890662</v>
      </c>
      <c r="BA569">
        <f t="shared" si="450"/>
        <v>1.0884341750272633</v>
      </c>
      <c r="BB569">
        <f t="shared" si="462"/>
        <v>0.73604338895979293</v>
      </c>
      <c r="BC569">
        <f t="shared" si="463"/>
        <v>-0.976619706480645</v>
      </c>
      <c r="BD569">
        <f t="shared" si="451"/>
        <v>-235.95618743458547</v>
      </c>
      <c r="BF569">
        <f t="shared" si="452"/>
        <v>-59.267182293579204</v>
      </c>
      <c r="BG569">
        <f t="shared" si="453"/>
        <v>-187.61529698906492</v>
      </c>
      <c r="BH569">
        <f t="shared" si="464"/>
        <v>-7.615296989064916</v>
      </c>
      <c r="BI569">
        <f t="shared" si="465"/>
        <v>-7.615296989064916</v>
      </c>
      <c r="BJ569">
        <f t="shared" si="454"/>
        <v>0</v>
      </c>
      <c r="BK569">
        <f t="shared" si="466"/>
        <v>0</v>
      </c>
      <c r="BM569">
        <f t="shared" si="467"/>
        <v>-60.003225682538996</v>
      </c>
      <c r="BN569">
        <f t="shared" si="455"/>
        <v>-131.65910955447947</v>
      </c>
      <c r="BQ569" s="56">
        <f t="shared" si="468"/>
        <v>17.638004189244928</v>
      </c>
    </row>
    <row r="570" spans="1:69" x14ac:dyDescent="0.2">
      <c r="A570">
        <f t="shared" si="472"/>
        <v>1780000</v>
      </c>
      <c r="B570">
        <f t="shared" si="456"/>
        <v>1780</v>
      </c>
      <c r="C570">
        <f t="shared" si="425"/>
        <v>1.5002780344049191</v>
      </c>
      <c r="D570">
        <f t="shared" si="426"/>
        <v>0.84123441524692055</v>
      </c>
      <c r="F570">
        <f t="shared" si="427"/>
        <v>4.4239516118294791E-5</v>
      </c>
      <c r="G570">
        <f t="shared" si="428"/>
        <v>3.8603375453693197E-3</v>
      </c>
      <c r="H570">
        <f t="shared" si="429"/>
        <v>-3.1377323124546308</v>
      </c>
      <c r="J570">
        <f t="shared" si="430"/>
        <v>15</v>
      </c>
      <c r="M570">
        <f t="shared" si="431"/>
        <v>4.4818490967237309E-4</v>
      </c>
      <c r="N570">
        <f t="shared" si="432"/>
        <v>-1.5707963250000001</v>
      </c>
      <c r="O570">
        <f t="shared" si="433"/>
        <v>201.31574068805341</v>
      </c>
      <c r="P570">
        <f t="shared" si="434"/>
        <v>1.5658289849019662</v>
      </c>
      <c r="Q570">
        <f t="shared" si="435"/>
        <v>211.82416948947466</v>
      </c>
      <c r="R570">
        <f t="shared" si="436"/>
        <v>1.5660754126663303</v>
      </c>
      <c r="S570">
        <f t="shared" si="437"/>
        <v>0.91433854877140763</v>
      </c>
      <c r="T570">
        <f t="shared" si="438"/>
        <v>-0.41692484207496583</v>
      </c>
      <c r="U570">
        <f t="shared" si="439"/>
        <v>9.3962707259226133E-2</v>
      </c>
      <c r="V570">
        <f t="shared" si="440"/>
        <v>-1.476694801321534</v>
      </c>
      <c r="X570">
        <f t="shared" si="457"/>
        <v>-55.731071905561187</v>
      </c>
      <c r="Y570">
        <f t="shared" si="441"/>
        <v>-150.63114699051275</v>
      </c>
      <c r="Z570">
        <f t="shared" si="458"/>
        <v>29.368853009487253</v>
      </c>
      <c r="AC570">
        <v>1</v>
      </c>
      <c r="AD570">
        <f t="shared" si="442"/>
        <v>201.31325701200001</v>
      </c>
      <c r="AE570">
        <f t="shared" si="443"/>
        <v>-2.2515015249321988</v>
      </c>
      <c r="AF570">
        <f t="shared" si="444"/>
        <v>0.21249732684599998</v>
      </c>
      <c r="AG570">
        <f t="shared" si="473"/>
        <v>7.9240799866385006</v>
      </c>
      <c r="AH570">
        <f t="shared" si="474"/>
        <v>-88.665012653338991</v>
      </c>
      <c r="AJ570">
        <f t="shared" si="445"/>
        <v>10500</v>
      </c>
      <c r="AK570">
        <f t="shared" si="446"/>
        <v>4650.3362369772003</v>
      </c>
      <c r="AL570">
        <v>1</v>
      </c>
      <c r="AM570">
        <f t="shared" si="447"/>
        <v>211.82180902802642</v>
      </c>
      <c r="AN570">
        <f t="shared" si="475"/>
        <v>22.187523933327672</v>
      </c>
      <c r="AO570">
        <f t="shared" si="476"/>
        <v>-49.465220432898576</v>
      </c>
      <c r="AQ570">
        <f t="shared" si="448"/>
        <v>7.8904172539438473E-4</v>
      </c>
      <c r="AR570">
        <f t="shared" si="449"/>
        <v>-2.8089885424040095</v>
      </c>
      <c r="AT570">
        <f t="shared" si="470"/>
        <v>-249.05275222559092</v>
      </c>
      <c r="AU570">
        <f t="shared" si="471"/>
        <v>-22.328610286126573</v>
      </c>
      <c r="AV570">
        <f t="shared" si="459"/>
        <v>-3.0521775711403443</v>
      </c>
      <c r="AW570">
        <f t="shared" si="460"/>
        <v>-110.92313598198304</v>
      </c>
      <c r="AX570">
        <f t="shared" si="461"/>
        <v>-201.67337544892803</v>
      </c>
      <c r="AY570">
        <f t="shared" si="469"/>
        <v>-2.0736501189372794</v>
      </c>
      <c r="BA570">
        <f t="shared" si="450"/>
        <v>1.0864001266563446</v>
      </c>
      <c r="BB570">
        <f t="shared" si="462"/>
        <v>0.71979615136012598</v>
      </c>
      <c r="BC570">
        <f t="shared" si="463"/>
        <v>-0.97852745220306492</v>
      </c>
      <c r="BD570">
        <f t="shared" si="451"/>
        <v>-236.06549321298917</v>
      </c>
      <c r="BF570">
        <f t="shared" si="452"/>
        <v>-59.318736289321151</v>
      </c>
      <c r="BG570">
        <f t="shared" si="453"/>
        <v>-187.64513053401097</v>
      </c>
      <c r="BH570">
        <f t="shared" si="464"/>
        <v>-7.6451305340109741</v>
      </c>
      <c r="BI570">
        <f t="shared" si="465"/>
        <v>-7.6451305340109741</v>
      </c>
      <c r="BJ570">
        <f t="shared" si="454"/>
        <v>0</v>
      </c>
      <c r="BK570">
        <f t="shared" si="466"/>
        <v>0</v>
      </c>
      <c r="BM570">
        <f t="shared" si="467"/>
        <v>-60.03853244068128</v>
      </c>
      <c r="BN570">
        <f t="shared" si="455"/>
        <v>-131.57963732102181</v>
      </c>
      <c r="BQ570" s="56">
        <f t="shared" si="468"/>
        <v>17.621756951645263</v>
      </c>
    </row>
    <row r="571" spans="1:69" x14ac:dyDescent="0.2">
      <c r="A571">
        <f t="shared" si="472"/>
        <v>1785000</v>
      </c>
      <c r="B571">
        <f t="shared" si="456"/>
        <v>1785</v>
      </c>
      <c r="C571">
        <f t="shared" si="425"/>
        <v>1.5026214454877791</v>
      </c>
      <c r="D571">
        <f t="shared" si="426"/>
        <v>0.84262798489597712</v>
      </c>
      <c r="F571">
        <f t="shared" si="427"/>
        <v>4.3992013535671297E-5</v>
      </c>
      <c r="G571">
        <f t="shared" si="428"/>
        <v>3.8495234101266224E-3</v>
      </c>
      <c r="H571">
        <f t="shared" si="429"/>
        <v>-3.1377431265898736</v>
      </c>
      <c r="J571">
        <f t="shared" si="430"/>
        <v>15</v>
      </c>
      <c r="M571">
        <f t="shared" si="431"/>
        <v>4.4692948975732437E-4</v>
      </c>
      <c r="N571">
        <f t="shared" si="432"/>
        <v>-1.5707963250000001</v>
      </c>
      <c r="O571">
        <f t="shared" si="433"/>
        <v>201.88122040806309</v>
      </c>
      <c r="P571">
        <f t="shared" si="434"/>
        <v>1.565842898796995</v>
      </c>
      <c r="Q571">
        <f t="shared" si="435"/>
        <v>212.4191679591506</v>
      </c>
      <c r="R571">
        <f t="shared" si="436"/>
        <v>1.5660886363197752</v>
      </c>
      <c r="S571">
        <f t="shared" si="437"/>
        <v>0.91391707517658427</v>
      </c>
      <c r="T571">
        <f t="shared" si="438"/>
        <v>-0.41796442456996802</v>
      </c>
      <c r="U571">
        <f t="shared" si="439"/>
        <v>9.3701820527402904E-2</v>
      </c>
      <c r="V571">
        <f t="shared" si="440"/>
        <v>-1.4769568441818923</v>
      </c>
      <c r="X571">
        <f t="shared" si="457"/>
        <v>-55.770037218298761</v>
      </c>
      <c r="Y571">
        <f t="shared" si="441"/>
        <v>-150.62494370784117</v>
      </c>
      <c r="Z571">
        <f t="shared" si="458"/>
        <v>29.375056292158831</v>
      </c>
      <c r="AC571">
        <v>1</v>
      </c>
      <c r="AD571">
        <f t="shared" si="442"/>
        <v>201.87874368900003</v>
      </c>
      <c r="AE571">
        <f t="shared" si="443"/>
        <v>-2.2641681751916094</v>
      </c>
      <c r="AF571">
        <f t="shared" si="444"/>
        <v>0.21309422944949996</v>
      </c>
      <c r="AG571">
        <f t="shared" si="473"/>
        <v>7.8801387787492381</v>
      </c>
      <c r="AH571">
        <f t="shared" si="474"/>
        <v>-88.420786839760737</v>
      </c>
      <c r="AJ571">
        <f t="shared" si="445"/>
        <v>10500</v>
      </c>
      <c r="AK571">
        <f t="shared" si="446"/>
        <v>4663.3989792159009</v>
      </c>
      <c r="AL571">
        <v>1</v>
      </c>
      <c r="AM571">
        <f t="shared" si="447"/>
        <v>212.41681410956582</v>
      </c>
      <c r="AN571">
        <f t="shared" si="475"/>
        <v>22.186217543624601</v>
      </c>
      <c r="AO571">
        <f t="shared" si="476"/>
        <v>-49.326668542594085</v>
      </c>
      <c r="AQ571">
        <f t="shared" si="448"/>
        <v>7.8462751495676579E-4</v>
      </c>
      <c r="AR571">
        <f t="shared" si="449"/>
        <v>-2.801120228395654</v>
      </c>
      <c r="AT571">
        <f t="shared" si="470"/>
        <v>-247.67107165380654</v>
      </c>
      <c r="AU571">
        <f t="shared" si="471"/>
        <v>-22.14259351796812</v>
      </c>
      <c r="AV571">
        <f t="shared" si="459"/>
        <v>-3.0524264869371986</v>
      </c>
      <c r="AW571">
        <f t="shared" si="460"/>
        <v>-110.17950100066697</v>
      </c>
      <c r="AX571">
        <f t="shared" si="461"/>
        <v>-201.10763309965509</v>
      </c>
      <c r="AY571">
        <f t="shared" si="469"/>
        <v>-2.0719976333371446</v>
      </c>
      <c r="BA571">
        <f t="shared" si="450"/>
        <v>1.0843713476981405</v>
      </c>
      <c r="BB571">
        <f t="shared" si="462"/>
        <v>0.70356067427763624</v>
      </c>
      <c r="BC571">
        <f t="shared" si="463"/>
        <v>-0.98042885360005405</v>
      </c>
      <c r="BD571">
        <f t="shared" si="451"/>
        <v>-236.17443548832142</v>
      </c>
      <c r="BF571">
        <f t="shared" si="452"/>
        <v>-59.370145682209156</v>
      </c>
      <c r="BG571">
        <f t="shared" si="453"/>
        <v>-187.67484675421272</v>
      </c>
      <c r="BH571">
        <f t="shared" si="464"/>
        <v>-7.674846754212723</v>
      </c>
      <c r="BI571">
        <f t="shared" si="465"/>
        <v>-7.674846754212723</v>
      </c>
      <c r="BJ571">
        <f t="shared" si="454"/>
        <v>0</v>
      </c>
      <c r="BK571">
        <f t="shared" si="466"/>
        <v>0</v>
      </c>
      <c r="BM571">
        <f t="shared" si="467"/>
        <v>-60.073706356486781</v>
      </c>
      <c r="BN571">
        <f t="shared" si="455"/>
        <v>-131.5004112658913</v>
      </c>
      <c r="BQ571" s="56">
        <f t="shared" si="468"/>
        <v>17.605521474562774</v>
      </c>
    </row>
    <row r="572" spans="1:69" x14ac:dyDescent="0.2">
      <c r="A572">
        <f t="shared" si="472"/>
        <v>1790000</v>
      </c>
      <c r="B572">
        <f t="shared" si="456"/>
        <v>1790</v>
      </c>
      <c r="C572">
        <f t="shared" si="425"/>
        <v>1.5049677656250431</v>
      </c>
      <c r="D572">
        <f t="shared" si="426"/>
        <v>0.84401721194617496</v>
      </c>
      <c r="F572">
        <f t="shared" si="427"/>
        <v>4.3746582201991699E-5</v>
      </c>
      <c r="G572">
        <f t="shared" si="428"/>
        <v>3.8387696962642764E-3</v>
      </c>
      <c r="H572">
        <f t="shared" si="429"/>
        <v>-3.1377538803037361</v>
      </c>
      <c r="J572">
        <f t="shared" si="430"/>
        <v>15</v>
      </c>
      <c r="M572">
        <f t="shared" si="431"/>
        <v>4.4568108336135419E-4</v>
      </c>
      <c r="N572">
        <f t="shared" si="432"/>
        <v>-1.5707963250000001</v>
      </c>
      <c r="O572">
        <f t="shared" si="433"/>
        <v>202.44670016693792</v>
      </c>
      <c r="P572">
        <f t="shared" si="434"/>
        <v>1.5658567349626684</v>
      </c>
      <c r="Q572">
        <f t="shared" si="435"/>
        <v>213.01416646576371</v>
      </c>
      <c r="R572">
        <f t="shared" si="436"/>
        <v>1.5661017860996942</v>
      </c>
      <c r="S572">
        <f t="shared" si="437"/>
        <v>0.91349500408950135</v>
      </c>
      <c r="T572">
        <f t="shared" si="438"/>
        <v>-0.41900304797317467</v>
      </c>
      <c r="U572">
        <f t="shared" si="439"/>
        <v>9.344237212125063E-2</v>
      </c>
      <c r="V572">
        <f t="shared" si="440"/>
        <v>-1.4772174359334549</v>
      </c>
      <c r="X572">
        <f t="shared" si="457"/>
        <v>-55.808879851238146</v>
      </c>
      <c r="Y572">
        <f t="shared" si="441"/>
        <v>-150.61885636774997</v>
      </c>
      <c r="Z572">
        <f t="shared" si="458"/>
        <v>29.38114363225003</v>
      </c>
      <c r="AC572">
        <v>1</v>
      </c>
      <c r="AD572">
        <f t="shared" si="442"/>
        <v>202.444230366</v>
      </c>
      <c r="AE572">
        <f t="shared" si="443"/>
        <v>-2.2768703560267829</v>
      </c>
      <c r="AF572">
        <f t="shared" si="444"/>
        <v>0.213691132053</v>
      </c>
      <c r="AG572">
        <f t="shared" si="473"/>
        <v>7.8365609919041317</v>
      </c>
      <c r="AH572">
        <f t="shared" si="474"/>
        <v>-88.177891308044238</v>
      </c>
      <c r="AJ572">
        <f t="shared" si="445"/>
        <v>10500</v>
      </c>
      <c r="AK572">
        <f t="shared" si="446"/>
        <v>4676.4617214546006</v>
      </c>
      <c r="AL572">
        <v>1</v>
      </c>
      <c r="AM572">
        <f t="shared" si="447"/>
        <v>213.01181919110522</v>
      </c>
      <c r="AN572">
        <f t="shared" si="475"/>
        <v>22.184922085702777</v>
      </c>
      <c r="AO572">
        <f t="shared" si="476"/>
        <v>-49.188890633876255</v>
      </c>
      <c r="AQ572">
        <f t="shared" si="448"/>
        <v>7.8025024341856972E-4</v>
      </c>
      <c r="AR572">
        <f t="shared" si="449"/>
        <v>-2.7932958714384797</v>
      </c>
      <c r="AT572">
        <f t="shared" si="470"/>
        <v>-246.30082526428947</v>
      </c>
      <c r="AU572">
        <f t="shared" si="471"/>
        <v>-21.958634286118883</v>
      </c>
      <c r="AV572">
        <f t="shared" si="459"/>
        <v>-3.0526740249589062</v>
      </c>
      <c r="AW572">
        <f t="shared" si="460"/>
        <v>-109.44209183820693</v>
      </c>
      <c r="AX572">
        <f t="shared" si="461"/>
        <v>-200.54505855095249</v>
      </c>
      <c r="AY572">
        <f t="shared" si="469"/>
        <v>-2.0703500801693542</v>
      </c>
      <c r="BA572">
        <f t="shared" si="450"/>
        <v>1.0823478329294973</v>
      </c>
      <c r="BB572">
        <f t="shared" si="462"/>
        <v>0.68733703881217079</v>
      </c>
      <c r="BC572">
        <f t="shared" si="463"/>
        <v>-0.98232394478955198</v>
      </c>
      <c r="BD572">
        <f t="shared" si="451"/>
        <v>-236.28301621539615</v>
      </c>
      <c r="BF572">
        <f t="shared" si="452"/>
        <v>-59.42141125006728</v>
      </c>
      <c r="BG572">
        <f t="shared" si="453"/>
        <v>-187.70444677685387</v>
      </c>
      <c r="BH572">
        <f t="shared" si="464"/>
        <v>-7.7044467768538709</v>
      </c>
      <c r="BI572">
        <f t="shared" si="465"/>
        <v>-7.7044467768538709</v>
      </c>
      <c r="BJ572">
        <f t="shared" si="454"/>
        <v>0</v>
      </c>
      <c r="BK572">
        <f t="shared" si="466"/>
        <v>0</v>
      </c>
      <c r="BM572">
        <f t="shared" si="467"/>
        <v>-60.108748288879454</v>
      </c>
      <c r="BN572">
        <f t="shared" si="455"/>
        <v>-131.42143056145773</v>
      </c>
      <c r="BQ572" s="56">
        <f t="shared" si="468"/>
        <v>17.589297839097306</v>
      </c>
    </row>
    <row r="573" spans="1:69" x14ac:dyDescent="0.2">
      <c r="A573">
        <f t="shared" si="472"/>
        <v>1795000</v>
      </c>
      <c r="B573">
        <f t="shared" si="456"/>
        <v>1795</v>
      </c>
      <c r="C573">
        <f t="shared" si="425"/>
        <v>1.5073169812318321</v>
      </c>
      <c r="D573">
        <f t="shared" si="426"/>
        <v>0.84540211132705767</v>
      </c>
      <c r="F573">
        <f t="shared" si="427"/>
        <v>4.3503199070018499E-5</v>
      </c>
      <c r="G573">
        <f t="shared" si="428"/>
        <v>3.828075898788157E-3</v>
      </c>
      <c r="H573">
        <f t="shared" si="429"/>
        <v>-3.1377645741012121</v>
      </c>
      <c r="J573">
        <f t="shared" si="430"/>
        <v>15</v>
      </c>
      <c r="M573">
        <f t="shared" si="431"/>
        <v>4.4443963187566803E-4</v>
      </c>
      <c r="N573">
        <f t="shared" si="432"/>
        <v>-1.5707963250000001</v>
      </c>
      <c r="O573">
        <f t="shared" si="433"/>
        <v>203.01217996435318</v>
      </c>
      <c r="P573">
        <f t="shared" si="434"/>
        <v>1.5658704940485146</v>
      </c>
      <c r="Q573">
        <f t="shared" si="435"/>
        <v>213.60916500900532</v>
      </c>
      <c r="R573">
        <f t="shared" si="436"/>
        <v>1.5661148626233961</v>
      </c>
      <c r="S573">
        <f t="shared" si="437"/>
        <v>0.91307233906751784</v>
      </c>
      <c r="T573">
        <f t="shared" si="438"/>
        <v>-0.42004071137351967</v>
      </c>
      <c r="U573">
        <f t="shared" si="439"/>
        <v>9.3184350231414928E-2</v>
      </c>
      <c r="V573">
        <f t="shared" si="440"/>
        <v>-1.4774765885614969</v>
      </c>
      <c r="X573">
        <f t="shared" si="457"/>
        <v>-55.84760061205025</v>
      </c>
      <c r="Y573">
        <f t="shared" si="441"/>
        <v>-150.61288470569437</v>
      </c>
      <c r="Z573">
        <f t="shared" si="458"/>
        <v>29.38711529430563</v>
      </c>
      <c r="AC573">
        <v>1</v>
      </c>
      <c r="AD573">
        <f t="shared" si="442"/>
        <v>203.00971704300002</v>
      </c>
      <c r="AE573">
        <f t="shared" si="443"/>
        <v>-2.2896080674377188</v>
      </c>
      <c r="AF573">
        <f t="shared" si="444"/>
        <v>0.21428803465649998</v>
      </c>
      <c r="AG573">
        <f t="shared" si="473"/>
        <v>7.7933426412424422</v>
      </c>
      <c r="AH573">
        <f t="shared" si="474"/>
        <v>-87.936315314577413</v>
      </c>
      <c r="AJ573">
        <f t="shared" si="445"/>
        <v>10500</v>
      </c>
      <c r="AK573">
        <f t="shared" si="446"/>
        <v>4689.5244636933003</v>
      </c>
      <c r="AL573">
        <v>1</v>
      </c>
      <c r="AM573">
        <f t="shared" si="447"/>
        <v>213.60682427264464</v>
      </c>
      <c r="AN573">
        <f t="shared" si="475"/>
        <v>22.183637437933879</v>
      </c>
      <c r="AO573">
        <f t="shared" si="476"/>
        <v>-49.051880239501784</v>
      </c>
      <c r="AQ573">
        <f t="shared" si="448"/>
        <v>7.7590949977812869E-4</v>
      </c>
      <c r="AR573">
        <f t="shared" si="449"/>
        <v>-2.785515104203482</v>
      </c>
      <c r="AT573">
        <f t="shared" si="470"/>
        <v>-244.941887588165</v>
      </c>
      <c r="AU573">
        <f t="shared" si="471"/>
        <v>-21.776704261841946</v>
      </c>
      <c r="AV573">
        <f t="shared" si="459"/>
        <v>-3.0529201965779462</v>
      </c>
      <c r="AW573">
        <f t="shared" si="460"/>
        <v>-108.7108391824739</v>
      </c>
      <c r="AX573">
        <f t="shared" si="461"/>
        <v>-199.98562524671269</v>
      </c>
      <c r="AY573">
        <f t="shared" si="469"/>
        <v>-2.0687074369130034</v>
      </c>
      <c r="BA573">
        <f t="shared" si="450"/>
        <v>1.0803295769263497</v>
      </c>
      <c r="BB573">
        <f t="shared" si="462"/>
        <v>0.67112532465278285</v>
      </c>
      <c r="BC573">
        <f t="shared" si="463"/>
        <v>-0.98421275966494282</v>
      </c>
      <c r="BD573">
        <f t="shared" si="451"/>
        <v>-236.39123733616123</v>
      </c>
      <c r="BF573">
        <f t="shared" si="452"/>
        <v>-59.472533764741151</v>
      </c>
      <c r="BG573">
        <f t="shared" si="453"/>
        <v>-187.73393171741645</v>
      </c>
      <c r="BH573">
        <f t="shared" si="464"/>
        <v>-7.7339317174164535</v>
      </c>
      <c r="BI573">
        <f t="shared" si="465"/>
        <v>-7.7339317174164535</v>
      </c>
      <c r="BJ573">
        <f t="shared" si="454"/>
        <v>0</v>
      </c>
      <c r="BK573">
        <f t="shared" si="466"/>
        <v>0</v>
      </c>
      <c r="BM573">
        <f t="shared" si="467"/>
        <v>-60.143659089393935</v>
      </c>
      <c r="BN573">
        <f t="shared" si="455"/>
        <v>-131.34269438125526</v>
      </c>
      <c r="BQ573" s="56">
        <f t="shared" si="468"/>
        <v>17.57308612493792</v>
      </c>
    </row>
    <row r="574" spans="1:69" x14ac:dyDescent="0.2">
      <c r="A574">
        <f t="shared" si="472"/>
        <v>1800000</v>
      </c>
      <c r="B574">
        <f t="shared" si="456"/>
        <v>1800</v>
      </c>
      <c r="C574">
        <f t="shared" si="425"/>
        <v>1.5096690787911133</v>
      </c>
      <c r="D574">
        <f t="shared" si="426"/>
        <v>0.84678269794170058</v>
      </c>
      <c r="F574">
        <f t="shared" si="427"/>
        <v>4.3261841412193193E-5</v>
      </c>
      <c r="G574">
        <f t="shared" si="428"/>
        <v>3.8174415183162961E-3</v>
      </c>
      <c r="H574">
        <f t="shared" si="429"/>
        <v>-3.1377752084816839</v>
      </c>
      <c r="J574">
        <f t="shared" si="430"/>
        <v>15</v>
      </c>
      <c r="M574">
        <f t="shared" si="431"/>
        <v>4.4320507734267996E-4</v>
      </c>
      <c r="N574">
        <f t="shared" si="432"/>
        <v>-1.5707963250000001</v>
      </c>
      <c r="O574">
        <f t="shared" si="433"/>
        <v>203.57765979998763</v>
      </c>
      <c r="P574">
        <f t="shared" si="434"/>
        <v>1.5658841766968443</v>
      </c>
      <c r="Q574">
        <f t="shared" si="435"/>
        <v>214.20416358857022</v>
      </c>
      <c r="R574">
        <f t="shared" si="436"/>
        <v>1.5661278665013318</v>
      </c>
      <c r="S574">
        <f t="shared" si="437"/>
        <v>0.91264908366339004</v>
      </c>
      <c r="T574">
        <f t="shared" si="438"/>
        <v>-0.42107741386988978</v>
      </c>
      <c r="U574">
        <f t="shared" si="439"/>
        <v>9.2927743176888566E-2</v>
      </c>
      <c r="V574">
        <f t="shared" si="440"/>
        <v>-1.4777343139200536</v>
      </c>
      <c r="X574">
        <f t="shared" si="457"/>
        <v>-55.886200301374231</v>
      </c>
      <c r="Y574">
        <f t="shared" si="441"/>
        <v>-150.60702845218177</v>
      </c>
      <c r="Z574">
        <f t="shared" si="458"/>
        <v>29.392971547818235</v>
      </c>
      <c r="AC574">
        <v>1</v>
      </c>
      <c r="AD574">
        <f t="shared" si="442"/>
        <v>203.57520371999999</v>
      </c>
      <c r="AE574">
        <f t="shared" si="443"/>
        <v>-2.3023813094244177</v>
      </c>
      <c r="AF574">
        <f t="shared" si="444"/>
        <v>0.21488493725999999</v>
      </c>
      <c r="AG574">
        <f t="shared" si="473"/>
        <v>7.75047979620975</v>
      </c>
      <c r="AH574">
        <f t="shared" si="474"/>
        <v>-87.696048230053108</v>
      </c>
      <c r="AJ574">
        <f t="shared" si="445"/>
        <v>10500</v>
      </c>
      <c r="AK574">
        <f t="shared" si="446"/>
        <v>4702.5872059320009</v>
      </c>
      <c r="AL574">
        <v>1</v>
      </c>
      <c r="AM574">
        <f t="shared" si="447"/>
        <v>214.20182935418404</v>
      </c>
      <c r="AN574">
        <f t="shared" si="475"/>
        <v>22.182363480376441</v>
      </c>
      <c r="AO574">
        <f t="shared" si="476"/>
        <v>-48.915630964077756</v>
      </c>
      <c r="AQ574">
        <f t="shared" si="448"/>
        <v>7.7160487873419148E-4</v>
      </c>
      <c r="AR574">
        <f t="shared" si="449"/>
        <v>-2.7777775634430895</v>
      </c>
      <c r="AT574">
        <f t="shared" si="470"/>
        <v>-243.59413486804129</v>
      </c>
      <c r="AU574">
        <f t="shared" si="471"/>
        <v>-21.59677558249043</v>
      </c>
      <c r="AV574">
        <f t="shared" si="459"/>
        <v>-3.0531650130423689</v>
      </c>
      <c r="AW574">
        <f t="shared" si="460"/>
        <v>-107.98567468332894</v>
      </c>
      <c r="AX574">
        <f t="shared" si="461"/>
        <v>-199.42930692712696</v>
      </c>
      <c r="AY574">
        <f t="shared" si="469"/>
        <v>-2.0670696811455462</v>
      </c>
      <c r="BA574">
        <f t="shared" si="450"/>
        <v>1.0783165740678697</v>
      </c>
      <c r="BB574">
        <f t="shared" si="462"/>
        <v>0.65492561009546424</v>
      </c>
      <c r="BC574">
        <f t="shared" si="463"/>
        <v>-0.98609533189682264</v>
      </c>
      <c r="BD574">
        <f t="shared" si="451"/>
        <v>-236.49910077979973</v>
      </c>
      <c r="BF574">
        <f t="shared" si="452"/>
        <v>-59.523513992158925</v>
      </c>
      <c r="BG574">
        <f t="shared" si="453"/>
        <v>-187.76330267981274</v>
      </c>
      <c r="BH574">
        <f t="shared" si="464"/>
        <v>-7.7633026798127389</v>
      </c>
      <c r="BI574">
        <f t="shared" si="465"/>
        <v>-7.7633026798127389</v>
      </c>
      <c r="BJ574">
        <f t="shared" si="454"/>
        <v>0</v>
      </c>
      <c r="BK574">
        <f t="shared" si="466"/>
        <v>0</v>
      </c>
      <c r="BM574">
        <f t="shared" si="467"/>
        <v>-60.178439602254386</v>
      </c>
      <c r="BN574">
        <f t="shared" si="455"/>
        <v>-131.26420190001303</v>
      </c>
      <c r="BQ574" s="56">
        <f t="shared" si="468"/>
        <v>17.556886410380599</v>
      </c>
    </row>
    <row r="575" spans="1:69" x14ac:dyDescent="0.2">
      <c r="A575">
        <f t="shared" si="472"/>
        <v>1805000</v>
      </c>
      <c r="B575">
        <f t="shared" si="456"/>
        <v>1805</v>
      </c>
      <c r="C575">
        <f t="shared" si="425"/>
        <v>1.5120240448534317</v>
      </c>
      <c r="D575">
        <f t="shared" si="426"/>
        <v>0.84815898666626588</v>
      </c>
      <c r="F575">
        <f t="shared" si="427"/>
        <v>4.3022486815329898E-5</v>
      </c>
      <c r="G575">
        <f t="shared" si="428"/>
        <v>3.8068660610011277E-3</v>
      </c>
      <c r="H575">
        <f t="shared" si="429"/>
        <v>-3.1377857839389991</v>
      </c>
      <c r="J575">
        <f t="shared" si="430"/>
        <v>15</v>
      </c>
      <c r="M575">
        <f t="shared" si="431"/>
        <v>4.4197736244699394E-4</v>
      </c>
      <c r="N575">
        <f t="shared" si="432"/>
        <v>-1.5707963250000001</v>
      </c>
      <c r="O575">
        <f t="shared" si="433"/>
        <v>204.14313967352371</v>
      </c>
      <c r="P575">
        <f t="shared" si="434"/>
        <v>1.5658977835428525</v>
      </c>
      <c r="Q575">
        <f t="shared" si="435"/>
        <v>214.7991622041566</v>
      </c>
      <c r="R575">
        <f t="shared" si="436"/>
        <v>1.5661407983371884</v>
      </c>
      <c r="S575">
        <f t="shared" si="437"/>
        <v>0.9122252414252181</v>
      </c>
      <c r="T575">
        <f t="shared" si="438"/>
        <v>-0.42211315457110199</v>
      </c>
      <c r="U575">
        <f t="shared" si="439"/>
        <v>9.2672539403280685E-2</v>
      </c>
      <c r="V575">
        <f t="shared" si="440"/>
        <v>-1.4779906237337064</v>
      </c>
      <c r="X575">
        <f t="shared" si="457"/>
        <v>-55.92467971289102</v>
      </c>
      <c r="Y575">
        <f t="shared" si="441"/>
        <v>-150.60128733289147</v>
      </c>
      <c r="Z575">
        <f t="shared" si="458"/>
        <v>29.398712667108526</v>
      </c>
      <c r="AC575">
        <v>1</v>
      </c>
      <c r="AD575">
        <f t="shared" si="442"/>
        <v>204.14069039700001</v>
      </c>
      <c r="AE575">
        <f t="shared" si="443"/>
        <v>-2.3151900819868789</v>
      </c>
      <c r="AF575">
        <f t="shared" si="444"/>
        <v>0.2154818398635</v>
      </c>
      <c r="AG575">
        <f t="shared" si="473"/>
        <v>7.7079685796749136</v>
      </c>
      <c r="AH575">
        <f t="shared" si="474"/>
        <v>-87.457079537968212</v>
      </c>
      <c r="AJ575">
        <f t="shared" si="445"/>
        <v>10500</v>
      </c>
      <c r="AK575">
        <f t="shared" si="446"/>
        <v>4715.6499481707006</v>
      </c>
      <c r="AL575">
        <v>1</v>
      </c>
      <c r="AM575">
        <f t="shared" si="447"/>
        <v>214.79683443572341</v>
      </c>
      <c r="AN575">
        <f t="shared" si="475"/>
        <v>22.181100094747869</v>
      </c>
      <c r="AO575">
        <f t="shared" si="476"/>
        <v>-48.78013648306662</v>
      </c>
      <c r="AQ575">
        <f t="shared" si="448"/>
        <v>7.6733598059131069E-4</v>
      </c>
      <c r="AR575">
        <f t="shared" si="449"/>
        <v>-2.7700828899346313</v>
      </c>
      <c r="AT575">
        <f t="shared" si="470"/>
        <v>-242.25744503014943</v>
      </c>
      <c r="AU575">
        <f t="shared" si="471"/>
        <v>-21.418820842598141</v>
      </c>
      <c r="AV575">
        <f t="shared" si="459"/>
        <v>-3.0534084854774832</v>
      </c>
      <c r="AW575">
        <f t="shared" si="460"/>
        <v>-107.26653093664412</v>
      </c>
      <c r="AX575">
        <f t="shared" si="461"/>
        <v>-198.8760776245598</v>
      </c>
      <c r="AY575">
        <f t="shared" si="469"/>
        <v>-2.0654367905427407</v>
      </c>
      <c r="BA575">
        <f t="shared" si="450"/>
        <v>1.0763088185405507</v>
      </c>
      <c r="BB575">
        <f t="shared" si="462"/>
        <v>0.63873797206065541</v>
      </c>
      <c r="BC575">
        <f t="shared" si="463"/>
        <v>-0.98797169493474257</v>
      </c>
      <c r="BD575">
        <f t="shared" si="451"/>
        <v>-236.60660846282971</v>
      </c>
      <c r="BF575">
        <f t="shared" si="452"/>
        <v>-59.5743526923915</v>
      </c>
      <c r="BG575">
        <f t="shared" si="453"/>
        <v>-187.79256075651489</v>
      </c>
      <c r="BH575">
        <f t="shared" si="464"/>
        <v>-7.792560756514888</v>
      </c>
      <c r="BI575">
        <f t="shared" si="465"/>
        <v>-7.792560756514888</v>
      </c>
      <c r="BJ575">
        <f t="shared" si="454"/>
        <v>0</v>
      </c>
      <c r="BK575">
        <f t="shared" si="466"/>
        <v>0</v>
      </c>
      <c r="BM575">
        <f t="shared" si="467"/>
        <v>-60.21309066445216</v>
      </c>
      <c r="BN575">
        <f t="shared" si="455"/>
        <v>-131.18595229368518</v>
      </c>
      <c r="BQ575" s="56">
        <f t="shared" si="468"/>
        <v>17.540698772345792</v>
      </c>
    </row>
    <row r="576" spans="1:69" x14ac:dyDescent="0.2">
      <c r="A576">
        <f t="shared" si="472"/>
        <v>1810000</v>
      </c>
      <c r="B576">
        <f t="shared" si="456"/>
        <v>1810</v>
      </c>
      <c r="C576">
        <f t="shared" si="425"/>
        <v>1.5143818660366388</v>
      </c>
      <c r="D576">
        <f t="shared" si="426"/>
        <v>0.84953099234956597</v>
      </c>
      <c r="F576">
        <f t="shared" si="427"/>
        <v>4.2785113175411572E-5</v>
      </c>
      <c r="G576">
        <f t="shared" si="428"/>
        <v>3.7963490384530334E-3</v>
      </c>
      <c r="H576">
        <f t="shared" si="429"/>
        <v>-3.137796300961547</v>
      </c>
      <c r="J576">
        <f t="shared" si="430"/>
        <v>15</v>
      </c>
      <c r="M576">
        <f t="shared" si="431"/>
        <v>4.4075643050653265E-4</v>
      </c>
      <c r="N576">
        <f t="shared" si="432"/>
        <v>-1.5707963250000001</v>
      </c>
      <c r="O576">
        <f t="shared" si="433"/>
        <v>204.70861958464727</v>
      </c>
      <c r="P576">
        <f t="shared" si="434"/>
        <v>1.5659113152147146</v>
      </c>
      <c r="Q576">
        <f t="shared" si="435"/>
        <v>215.39416085546586</v>
      </c>
      <c r="R576">
        <f t="shared" si="436"/>
        <v>1.5661536587279823</v>
      </c>
      <c r="S576">
        <f t="shared" si="437"/>
        <v>0.91180081589639184</v>
      </c>
      <c r="T576">
        <f t="shared" si="438"/>
        <v>-0.42314793259587996</v>
      </c>
      <c r="U576">
        <f t="shared" si="439"/>
        <v>9.2418727481113599E-2</v>
      </c>
      <c r="V576">
        <f t="shared" si="440"/>
        <v>-1.47824552959934</v>
      </c>
      <c r="X576">
        <f t="shared" si="457"/>
        <v>-55.963039633396079</v>
      </c>
      <c r="Y576">
        <f t="shared" si="441"/>
        <v>-150.59566106879282</v>
      </c>
      <c r="Z576">
        <f t="shared" si="458"/>
        <v>29.404338931207178</v>
      </c>
      <c r="AC576">
        <v>1</v>
      </c>
      <c r="AD576">
        <f t="shared" si="442"/>
        <v>204.70617707400001</v>
      </c>
      <c r="AE576">
        <f t="shared" si="443"/>
        <v>-2.3280343851251031</v>
      </c>
      <c r="AF576">
        <f t="shared" si="444"/>
        <v>0.21607874246699998</v>
      </c>
      <c r="AG576">
        <f t="shared" si="473"/>
        <v>7.6658051670636587</v>
      </c>
      <c r="AH576">
        <f t="shared" si="474"/>
        <v>-87.21939883314586</v>
      </c>
      <c r="AJ576">
        <f t="shared" si="445"/>
        <v>10500</v>
      </c>
      <c r="AK576">
        <f t="shared" si="446"/>
        <v>4728.7126904094011</v>
      </c>
      <c r="AL576">
        <v>1</v>
      </c>
      <c r="AM576">
        <f t="shared" si="447"/>
        <v>215.39183951726281</v>
      </c>
      <c r="AN576">
        <f t="shared" si="475"/>
        <v>22.179847164396968</v>
      </c>
      <c r="AO576">
        <f t="shared" si="476"/>
        <v>-48.645390541807629</v>
      </c>
      <c r="AQ576">
        <f t="shared" si="448"/>
        <v>7.6310241116705753E-4</v>
      </c>
      <c r="AR576">
        <f t="shared" si="449"/>
        <v>-2.7624307284247482</v>
      </c>
      <c r="AT576">
        <f t="shared" si="470"/>
        <v>-240.93169765700924</v>
      </c>
      <c r="AU576">
        <f t="shared" si="471"/>
        <v>-21.242813085163977</v>
      </c>
      <c r="AV576">
        <f t="shared" si="459"/>
        <v>-3.0536506248875228</v>
      </c>
      <c r="AW576">
        <f t="shared" si="460"/>
        <v>-106.5533414686322</v>
      </c>
      <c r="AX576">
        <f t="shared" si="461"/>
        <v>-198.32591165949228</v>
      </c>
      <c r="AY576">
        <f t="shared" si="469"/>
        <v>-2.0638087428785887</v>
      </c>
      <c r="BA576">
        <f t="shared" si="450"/>
        <v>1.0743063043422258</v>
      </c>
      <c r="BB576">
        <f t="shared" si="462"/>
        <v>0.62256248611054377</v>
      </c>
      <c r="BC576">
        <f t="shared" si="463"/>
        <v>-0.98984188200893408</v>
      </c>
      <c r="BD576">
        <f t="shared" si="451"/>
        <v>-236.71376228920326</v>
      </c>
      <c r="BF576">
        <f t="shared" si="452"/>
        <v>-59.625050619711985</v>
      </c>
      <c r="BG576">
        <f t="shared" si="453"/>
        <v>-187.82170702868328</v>
      </c>
      <c r="BH576">
        <f t="shared" si="464"/>
        <v>-7.8217070286832779</v>
      </c>
      <c r="BI576">
        <f t="shared" si="465"/>
        <v>-7.8217070286832779</v>
      </c>
      <c r="BJ576">
        <f t="shared" si="454"/>
        <v>0</v>
      </c>
      <c r="BK576">
        <f t="shared" si="466"/>
        <v>0</v>
      </c>
      <c r="BM576">
        <f t="shared" si="467"/>
        <v>-60.247613105822531</v>
      </c>
      <c r="BN576">
        <f t="shared" si="455"/>
        <v>-131.10794473948002</v>
      </c>
      <c r="BQ576" s="56">
        <f t="shared" si="468"/>
        <v>17.524523286395677</v>
      </c>
    </row>
    <row r="577" spans="1:69" x14ac:dyDescent="0.2">
      <c r="A577">
        <f t="shared" si="472"/>
        <v>1815000</v>
      </c>
      <c r="B577">
        <f t="shared" si="456"/>
        <v>1815</v>
      </c>
      <c r="C577">
        <f t="shared" si="425"/>
        <v>1.5167425290256253</v>
      </c>
      <c r="D577">
        <f t="shared" si="426"/>
        <v>0.85089872981263737</v>
      </c>
      <c r="F577">
        <f t="shared" si="427"/>
        <v>4.254969869248639E-5</v>
      </c>
      <c r="G577">
        <f t="shared" si="428"/>
        <v>3.7858899676651409E-3</v>
      </c>
      <c r="H577">
        <f t="shared" si="429"/>
        <v>-3.1378067600323352</v>
      </c>
      <c r="J577">
        <f t="shared" si="430"/>
        <v>15</v>
      </c>
      <c r="M577">
        <f t="shared" si="431"/>
        <v>4.395422254638149E-4</v>
      </c>
      <c r="N577">
        <f t="shared" si="432"/>
        <v>-1.5707963250000001</v>
      </c>
      <c r="O577">
        <f t="shared" si="433"/>
        <v>205.27409953304775</v>
      </c>
      <c r="P577">
        <f t="shared" si="434"/>
        <v>1.5659247723336849</v>
      </c>
      <c r="Q577">
        <f t="shared" si="435"/>
        <v>215.9891595422028</v>
      </c>
      <c r="R577">
        <f t="shared" si="436"/>
        <v>1.5661664482641515</v>
      </c>
      <c r="S577">
        <f t="shared" si="437"/>
        <v>0.91137581061553774</v>
      </c>
      <c r="T577">
        <f t="shared" si="438"/>
        <v>-0.42418174707283141</v>
      </c>
      <c r="U577">
        <f t="shared" si="439"/>
        <v>9.2166296104147102E-2</v>
      </c>
      <c r="V577">
        <f t="shared" si="440"/>
        <v>-1.4784990429878708</v>
      </c>
      <c r="X577">
        <f t="shared" si="457"/>
        <v>-56.001280842871203</v>
      </c>
      <c r="Y577">
        <f t="shared" si="441"/>
        <v>-150.59014937626031</v>
      </c>
      <c r="Z577">
        <f t="shared" si="458"/>
        <v>29.409850623739686</v>
      </c>
      <c r="AC577">
        <v>1</v>
      </c>
      <c r="AD577">
        <f t="shared" si="442"/>
        <v>205.27166375100003</v>
      </c>
      <c r="AE577">
        <f t="shared" si="443"/>
        <v>-2.3409142188390901</v>
      </c>
      <c r="AF577">
        <f t="shared" si="444"/>
        <v>0.21667564507049999</v>
      </c>
      <c r="AG577">
        <f t="shared" si="473"/>
        <v>7.6239857855085038</v>
      </c>
      <c r="AH577">
        <f t="shared" si="474"/>
        <v>-86.982995820280877</v>
      </c>
      <c r="AJ577">
        <f t="shared" si="445"/>
        <v>10500</v>
      </c>
      <c r="AK577">
        <f t="shared" si="446"/>
        <v>4741.7754326481008</v>
      </c>
      <c r="AL577">
        <v>1</v>
      </c>
      <c r="AM577">
        <f t="shared" si="447"/>
        <v>215.98684459880221</v>
      </c>
      <c r="AN577">
        <f t="shared" si="475"/>
        <v>22.178604574277024</v>
      </c>
      <c r="AO577">
        <f t="shared" si="476"/>
        <v>-48.511386954554503</v>
      </c>
      <c r="AQ577">
        <f t="shared" si="448"/>
        <v>7.5890378170102358E-4</v>
      </c>
      <c r="AR577">
        <f t="shared" si="449"/>
        <v>-2.7548207275747156</v>
      </c>
      <c r="AT577">
        <f t="shared" si="470"/>
        <v>-239.61677396061035</v>
      </c>
      <c r="AU577">
        <f t="shared" si="471"/>
        <v>-21.068725793125523</v>
      </c>
      <c r="AV577">
        <f t="shared" si="459"/>
        <v>-3.0538914421572838</v>
      </c>
      <c r="AW577">
        <f t="shared" si="460"/>
        <v>-105.84604072047829</v>
      </c>
      <c r="AX577">
        <f t="shared" si="461"/>
        <v>-197.77878363653292</v>
      </c>
      <c r="AY577">
        <f t="shared" si="469"/>
        <v>-2.0621855160252629</v>
      </c>
      <c r="BA577">
        <f t="shared" si="450"/>
        <v>1.072309025286025</v>
      </c>
      <c r="BB577">
        <f t="shared" si="462"/>
        <v>0.60639922646616085</v>
      </c>
      <c r="BC577">
        <f t="shared" si="463"/>
        <v>-0.99170592613202091</v>
      </c>
      <c r="BD577">
        <f t="shared" si="451"/>
        <v>-236.82056415040432</v>
      </c>
      <c r="BF577">
        <f t="shared" si="452"/>
        <v>-59.67560852265423</v>
      </c>
      <c r="BG577">
        <f t="shared" si="453"/>
        <v>-187.85074256629335</v>
      </c>
      <c r="BH577">
        <f t="shared" si="464"/>
        <v>-7.8507425662933485</v>
      </c>
      <c r="BI577">
        <f t="shared" si="465"/>
        <v>-7.8507425662933485</v>
      </c>
      <c r="BJ577">
        <f t="shared" si="454"/>
        <v>0</v>
      </c>
      <c r="BK577">
        <f t="shared" si="466"/>
        <v>0</v>
      </c>
      <c r="BM577">
        <f t="shared" si="467"/>
        <v>-60.282007749120396</v>
      </c>
      <c r="BN577">
        <f t="shared" si="455"/>
        <v>-131.030178415889</v>
      </c>
      <c r="BQ577" s="56">
        <f t="shared" si="468"/>
        <v>17.508360026751298</v>
      </c>
    </row>
    <row r="578" spans="1:69" x14ac:dyDescent="0.2">
      <c r="A578">
        <f t="shared" si="472"/>
        <v>1820000</v>
      </c>
      <c r="B578">
        <f t="shared" si="456"/>
        <v>1820</v>
      </c>
      <c r="C578">
        <f t="shared" si="425"/>
        <v>1.5191060205720481</v>
      </c>
      <c r="D578">
        <f t="shared" si="426"/>
        <v>0.85226221384832312</v>
      </c>
      <c r="F578">
        <f t="shared" si="427"/>
        <v>4.2316221865662174E-5</v>
      </c>
      <c r="G578">
        <f t="shared" si="428"/>
        <v>3.7754883709393687E-3</v>
      </c>
      <c r="H578">
        <f t="shared" si="429"/>
        <v>-3.1378171616290609</v>
      </c>
      <c r="J578">
        <f t="shared" si="430"/>
        <v>15</v>
      </c>
      <c r="M578">
        <f t="shared" si="431"/>
        <v>4.3833469187737583E-4</v>
      </c>
      <c r="N578">
        <f t="shared" si="432"/>
        <v>-1.5707963250000001</v>
      </c>
      <c r="O578">
        <f t="shared" si="433"/>
        <v>205.83957951841791</v>
      </c>
      <c r="P578">
        <f t="shared" si="434"/>
        <v>1.5659381555141911</v>
      </c>
      <c r="Q578">
        <f t="shared" si="435"/>
        <v>216.58415826407546</v>
      </c>
      <c r="R578">
        <f t="shared" si="436"/>
        <v>1.5661791675296461</v>
      </c>
      <c r="S578">
        <f t="shared" si="437"/>
        <v>0.91095022911646595</v>
      </c>
      <c r="T578">
        <f t="shared" si="438"/>
        <v>-0.42521459714042448</v>
      </c>
      <c r="U578">
        <f t="shared" si="439"/>
        <v>9.1915234087729239E-2</v>
      </c>
      <c r="V578">
        <f t="shared" si="440"/>
        <v>-1.4787511752459486</v>
      </c>
      <c r="X578">
        <f t="shared" si="457"/>
        <v>-56.039404114555389</v>
      </c>
      <c r="Y578">
        <f t="shared" si="441"/>
        <v>-150.58475196718746</v>
      </c>
      <c r="Z578">
        <f t="shared" si="458"/>
        <v>29.415248032812542</v>
      </c>
      <c r="AC578">
        <v>1</v>
      </c>
      <c r="AD578">
        <f t="shared" si="442"/>
        <v>205.837150428</v>
      </c>
      <c r="AE578">
        <f t="shared" si="443"/>
        <v>-2.3538295831288396</v>
      </c>
      <c r="AF578">
        <f t="shared" si="444"/>
        <v>0.21727254767400001</v>
      </c>
      <c r="AG578">
        <f t="shared" si="473"/>
        <v>7.5825067130145891</v>
      </c>
      <c r="AH578">
        <f t="shared" si="474"/>
        <v>-86.747860312507413</v>
      </c>
      <c r="AJ578">
        <f t="shared" si="445"/>
        <v>10500</v>
      </c>
      <c r="AK578">
        <f t="shared" si="446"/>
        <v>4754.8381748868005</v>
      </c>
      <c r="AL578">
        <v>1</v>
      </c>
      <c r="AM578">
        <f t="shared" si="447"/>
        <v>216.58184968034163</v>
      </c>
      <c r="AN578">
        <f t="shared" si="475"/>
        <v>22.17737221091939</v>
      </c>
      <c r="AO578">
        <f t="shared" si="476"/>
        <v>-48.378119603528887</v>
      </c>
      <c r="AQ578">
        <f t="shared" si="448"/>
        <v>7.547397087655696E-4</v>
      </c>
      <c r="AR578">
        <f t="shared" si="449"/>
        <v>-2.7472525399066736</v>
      </c>
      <c r="AT578">
        <f t="shared" si="470"/>
        <v>-238.31255675609705</v>
      </c>
      <c r="AU578">
        <f t="shared" si="471"/>
        <v>-20.896532881017031</v>
      </c>
      <c r="AV578">
        <f t="shared" si="459"/>
        <v>-3.0541309480537366</v>
      </c>
      <c r="AW578">
        <f t="shared" si="460"/>
        <v>-105.14456403326712</v>
      </c>
      <c r="AX578">
        <f t="shared" si="461"/>
        <v>-197.23466844049452</v>
      </c>
      <c r="AY578">
        <f t="shared" si="469"/>
        <v>-2.0605670879530247</v>
      </c>
      <c r="BA578">
        <f t="shared" si="450"/>
        <v>1.0703169750042689</v>
      </c>
      <c r="BB578">
        <f t="shared" si="462"/>
        <v>0.59024826602427161</v>
      </c>
      <c r="BC578">
        <f t="shared" si="463"/>
        <v>-0.99356386010071196</v>
      </c>
      <c r="BD578">
        <f t="shared" si="451"/>
        <v>-236.92701592554596</v>
      </c>
      <c r="BF578">
        <f t="shared" si="452"/>
        <v>-59.726027144070777</v>
      </c>
      <c r="BG578">
        <f t="shared" si="453"/>
        <v>-187.87966842826071</v>
      </c>
      <c r="BH578">
        <f t="shared" si="464"/>
        <v>-7.8796684282607146</v>
      </c>
      <c r="BI578">
        <f t="shared" si="465"/>
        <v>-7.8796684282607146</v>
      </c>
      <c r="BJ578">
        <f t="shared" si="454"/>
        <v>0</v>
      </c>
      <c r="BK578">
        <f t="shared" si="466"/>
        <v>0</v>
      </c>
      <c r="BM578">
        <f t="shared" si="467"/>
        <v>-60.316275410095052</v>
      </c>
      <c r="BN578">
        <f t="shared" si="455"/>
        <v>-130.95265250271476</v>
      </c>
      <c r="BQ578" s="56">
        <f t="shared" si="468"/>
        <v>17.492209066309407</v>
      </c>
    </row>
    <row r="579" spans="1:69" x14ac:dyDescent="0.2">
      <c r="A579">
        <f t="shared" si="472"/>
        <v>1825000</v>
      </c>
      <c r="B579">
        <f t="shared" si="456"/>
        <v>1825</v>
      </c>
      <c r="C579">
        <f t="shared" si="425"/>
        <v>1.5214723274940611</v>
      </c>
      <c r="D579">
        <f t="shared" si="426"/>
        <v>0.8536214592208633</v>
      </c>
      <c r="F579">
        <f t="shared" si="427"/>
        <v>4.2084661488196615E-5</v>
      </c>
      <c r="G579">
        <f t="shared" si="428"/>
        <v>3.7651437758136948E-3</v>
      </c>
      <c r="H579">
        <f t="shared" si="429"/>
        <v>-3.1378275062241867</v>
      </c>
      <c r="J579">
        <f t="shared" si="430"/>
        <v>15</v>
      </c>
      <c r="M579">
        <f t="shared" si="431"/>
        <v>4.3713377491332825E-4</v>
      </c>
      <c r="N579">
        <f t="shared" si="432"/>
        <v>-1.5707963250000001</v>
      </c>
      <c r="O579">
        <f t="shared" si="433"/>
        <v>206.40505954045392</v>
      </c>
      <c r="P579">
        <f t="shared" si="434"/>
        <v>1.5659514653639275</v>
      </c>
      <c r="Q579">
        <f t="shared" si="435"/>
        <v>217.17915702079506</v>
      </c>
      <c r="R579">
        <f t="shared" si="436"/>
        <v>1.566191817102017</v>
      </c>
      <c r="S579">
        <f t="shared" si="437"/>
        <v>0.91052407492811804</v>
      </c>
      <c r="T579">
        <f t="shared" si="438"/>
        <v>-0.42624648194696441</v>
      </c>
      <c r="U579">
        <f t="shared" si="439"/>
        <v>9.1665530367173759E-2</v>
      </c>
      <c r="V579">
        <f t="shared" si="440"/>
        <v>-1.4790019375976287</v>
      </c>
      <c r="X579">
        <f t="shared" si="457"/>
        <v>-56.077410215014879</v>
      </c>
      <c r="Y579">
        <f t="shared" si="441"/>
        <v>-150.57946854909878</v>
      </c>
      <c r="Z579">
        <f t="shared" si="458"/>
        <v>29.420531450901223</v>
      </c>
      <c r="AC579">
        <v>1</v>
      </c>
      <c r="AD579">
        <f t="shared" si="442"/>
        <v>206.40263710500003</v>
      </c>
      <c r="AE579">
        <f t="shared" si="443"/>
        <v>-2.366780477994352</v>
      </c>
      <c r="AF579">
        <f t="shared" si="444"/>
        <v>0.21786945027749999</v>
      </c>
      <c r="AG579">
        <f t="shared" si="473"/>
        <v>7.5413642776411631</v>
      </c>
      <c r="AH579">
        <f t="shared" si="474"/>
        <v>-86.513982229988883</v>
      </c>
      <c r="AJ579">
        <f t="shared" si="445"/>
        <v>10500</v>
      </c>
      <c r="AK579">
        <f t="shared" si="446"/>
        <v>4767.9009171255002</v>
      </c>
      <c r="AL579">
        <v>1</v>
      </c>
      <c r="AM579">
        <f t="shared" si="447"/>
        <v>217.17685476188103</v>
      </c>
      <c r="AN579">
        <f t="shared" si="475"/>
        <v>22.176149962407603</v>
      </c>
      <c r="AO579">
        <f t="shared" si="476"/>
        <v>-48.245582437989448</v>
      </c>
      <c r="AQ579">
        <f t="shared" si="448"/>
        <v>7.5060981417828378E-4</v>
      </c>
      <c r="AR579">
        <f t="shared" si="449"/>
        <v>-2.7397258217507359</v>
      </c>
      <c r="AT579">
        <f t="shared" si="470"/>
        <v>-237.01893043594575</v>
      </c>
      <c r="AU579">
        <f t="shared" si="471"/>
        <v>-20.726208686807556</v>
      </c>
      <c r="AV579">
        <f t="shared" si="459"/>
        <v>-3.0543691532276096</v>
      </c>
      <c r="AW579">
        <f t="shared" si="460"/>
        <v>-104.44884763319905</v>
      </c>
      <c r="AX579">
        <f t="shared" si="461"/>
        <v>-196.69354123253635</v>
      </c>
      <c r="AY579">
        <f t="shared" si="469"/>
        <v>-2.0589534367301376</v>
      </c>
      <c r="BA579">
        <f t="shared" si="450"/>
        <v>1.0683301469522979</v>
      </c>
      <c r="BB579">
        <f t="shared" si="462"/>
        <v>0.57410967637402888</v>
      </c>
      <c r="BC579">
        <f t="shared" si="463"/>
        <v>-0.99541571649747196</v>
      </c>
      <c r="BD579">
        <f t="shared" si="451"/>
        <v>-237.03311948146586</v>
      </c>
      <c r="BF579">
        <f t="shared" si="452"/>
        <v>-59.776307221189924</v>
      </c>
      <c r="BG579">
        <f t="shared" si="453"/>
        <v>-187.90848566256452</v>
      </c>
      <c r="BH579">
        <f t="shared" si="464"/>
        <v>-7.9084856625645159</v>
      </c>
      <c r="BI579">
        <f t="shared" si="465"/>
        <v>-7.9084856625645159</v>
      </c>
      <c r="BJ579">
        <f t="shared" si="454"/>
        <v>0</v>
      </c>
      <c r="BK579">
        <f t="shared" si="466"/>
        <v>0</v>
      </c>
      <c r="BM579">
        <f t="shared" si="467"/>
        <v>-60.350416897563946</v>
      </c>
      <c r="BN579">
        <f t="shared" si="455"/>
        <v>-130.87536618109866</v>
      </c>
      <c r="BQ579" s="56">
        <f t="shared" si="468"/>
        <v>17.476070476659164</v>
      </c>
    </row>
    <row r="580" spans="1:69" x14ac:dyDescent="0.2">
      <c r="A580">
        <f t="shared" si="472"/>
        <v>1830000</v>
      </c>
      <c r="B580">
        <f t="shared" si="456"/>
        <v>1830</v>
      </c>
      <c r="C580">
        <f t="shared" si="425"/>
        <v>1.523841436676042</v>
      </c>
      <c r="D580">
        <f t="shared" si="426"/>
        <v>0.85497648066549536</v>
      </c>
      <c r="F580">
        <f t="shared" si="427"/>
        <v>4.1854996642681411E-5</v>
      </c>
      <c r="G580">
        <f t="shared" si="428"/>
        <v>3.7548557149905937E-3</v>
      </c>
      <c r="H580">
        <f t="shared" si="429"/>
        <v>-3.1378377942850095</v>
      </c>
      <c r="J580">
        <f t="shared" si="430"/>
        <v>15</v>
      </c>
      <c r="M580">
        <f t="shared" si="431"/>
        <v>4.3593942033706229E-4</v>
      </c>
      <c r="N580">
        <f t="shared" si="432"/>
        <v>-1.5707963250000001</v>
      </c>
      <c r="O580">
        <f t="shared" si="433"/>
        <v>206.97053959885517</v>
      </c>
      <c r="P580">
        <f t="shared" si="434"/>
        <v>1.5659647024839471</v>
      </c>
      <c r="Q580">
        <f t="shared" si="435"/>
        <v>217.77415581207595</v>
      </c>
      <c r="R580">
        <f t="shared" si="436"/>
        <v>1.5662043975525033</v>
      </c>
      <c r="S580">
        <f t="shared" si="437"/>
        <v>0.91009735157451499</v>
      </c>
      <c r="T580">
        <f t="shared" si="438"/>
        <v>-0.42727740065057013</v>
      </c>
      <c r="U580">
        <f t="shared" si="439"/>
        <v>9.1417173996162934E-2</v>
      </c>
      <c r="V580">
        <f t="shared" si="440"/>
        <v>-1.4792513411460191</v>
      </c>
      <c r="X580">
        <f t="shared" si="457"/>
        <v>-56.115299904212335</v>
      </c>
      <c r="Y580">
        <f t="shared" si="441"/>
        <v>-150.57429882525904</v>
      </c>
      <c r="Z580">
        <f t="shared" si="458"/>
        <v>29.425701174740965</v>
      </c>
      <c r="AC580">
        <v>1</v>
      </c>
      <c r="AD580">
        <f t="shared" si="442"/>
        <v>206.96812378199999</v>
      </c>
      <c r="AE580">
        <f t="shared" si="443"/>
        <v>-2.3797669034356272</v>
      </c>
      <c r="AF580">
        <f t="shared" si="444"/>
        <v>0.218466352881</v>
      </c>
      <c r="AG580">
        <f t="shared" si="473"/>
        <v>7.5005548566983089</v>
      </c>
      <c r="AH580">
        <f t="shared" si="474"/>
        <v>-86.28135159852954</v>
      </c>
      <c r="AJ580">
        <f t="shared" si="445"/>
        <v>10500</v>
      </c>
      <c r="AK580">
        <f t="shared" si="446"/>
        <v>4780.9636593641999</v>
      </c>
      <c r="AL580">
        <v>1</v>
      </c>
      <c r="AM580">
        <f t="shared" si="447"/>
        <v>217.77185984342043</v>
      </c>
      <c r="AN580">
        <f t="shared" si="475"/>
        <v>22.174937718351941</v>
      </c>
      <c r="AO580">
        <f t="shared" si="476"/>
        <v>-48.113769473316168</v>
      </c>
      <c r="AQ580">
        <f t="shared" si="448"/>
        <v>7.4651372491611235E-4</v>
      </c>
      <c r="AR580">
        <f t="shared" si="449"/>
        <v>-2.7322402331929712</v>
      </c>
      <c r="AT580">
        <f t="shared" si="470"/>
        <v>-235.73578094462607</v>
      </c>
      <c r="AU580">
        <f t="shared" si="471"/>
        <v>-20.557727963914676</v>
      </c>
      <c r="AV580">
        <f t="shared" si="459"/>
        <v>-3.0546060682149481</v>
      </c>
      <c r="AW580">
        <f t="shared" si="460"/>
        <v>-103.75882861708877</v>
      </c>
      <c r="AX580">
        <f t="shared" si="461"/>
        <v>-196.15537744636939</v>
      </c>
      <c r="AY580">
        <f t="shared" si="469"/>
        <v>-2.0573445405227684</v>
      </c>
      <c r="BA580">
        <f t="shared" si="450"/>
        <v>1.0663485344122448</v>
      </c>
      <c r="BB580">
        <f t="shared" si="462"/>
        <v>0.55798352781346583</v>
      </c>
      <c r="BC580">
        <f t="shared" si="463"/>
        <v>-0.99726152769217968</v>
      </c>
      <c r="BD580">
        <f t="shared" si="451"/>
        <v>-237.13887667282145</v>
      </c>
      <c r="BF580">
        <f t="shared" si="452"/>
        <v>-59.826449485672129</v>
      </c>
      <c r="BG580">
        <f t="shared" si="453"/>
        <v>-187.93719530636946</v>
      </c>
      <c r="BH580">
        <f t="shared" si="464"/>
        <v>-7.9371953063694605</v>
      </c>
      <c r="BI580">
        <f t="shared" si="465"/>
        <v>-7.9371953063694605</v>
      </c>
      <c r="BJ580">
        <f t="shared" si="454"/>
        <v>0</v>
      </c>
      <c r="BK580">
        <f t="shared" si="466"/>
        <v>0</v>
      </c>
      <c r="BM580">
        <f t="shared" si="467"/>
        <v>-60.384433013485591</v>
      </c>
      <c r="BN580">
        <f t="shared" si="455"/>
        <v>-130.79831863354801</v>
      </c>
      <c r="BQ580" s="56">
        <f t="shared" si="468"/>
        <v>17.459944328098601</v>
      </c>
    </row>
    <row r="581" spans="1:69" x14ac:dyDescent="0.2">
      <c r="A581">
        <f t="shared" si="472"/>
        <v>1835000</v>
      </c>
      <c r="B581">
        <f t="shared" si="456"/>
        <v>1835</v>
      </c>
      <c r="C581">
        <f t="shared" si="425"/>
        <v>1.5262133350683216</v>
      </c>
      <c r="D581">
        <f t="shared" si="426"/>
        <v>0.85632729288806242</v>
      </c>
      <c r="F581">
        <f t="shared" si="427"/>
        <v>4.1627206696318054E-5</v>
      </c>
      <c r="G581">
        <f t="shared" si="428"/>
        <v>3.7446237262666773E-3</v>
      </c>
      <c r="H581">
        <f t="shared" si="429"/>
        <v>-3.1378480262737334</v>
      </c>
      <c r="J581">
        <f t="shared" si="430"/>
        <v>15</v>
      </c>
      <c r="M581">
        <f t="shared" si="431"/>
        <v>4.3475157450508124E-4</v>
      </c>
      <c r="N581">
        <f t="shared" si="432"/>
        <v>-1.5707963250000001</v>
      </c>
      <c r="O581">
        <f t="shared" si="433"/>
        <v>207.53601969332445</v>
      </c>
      <c r="P581">
        <f t="shared" si="434"/>
        <v>1.5659778674687521</v>
      </c>
      <c r="Q581">
        <f t="shared" si="435"/>
        <v>218.36915463763566</v>
      </c>
      <c r="R581">
        <f t="shared" si="436"/>
        <v>1.5662169094461178</v>
      </c>
      <c r="S581">
        <f t="shared" si="437"/>
        <v>0.90967006257470551</v>
      </c>
      <c r="T581">
        <f t="shared" si="438"/>
        <v>-0.42830735241915019</v>
      </c>
      <c r="U581">
        <f t="shared" si="439"/>
        <v>9.1170154145176152E-2</v>
      </c>
      <c r="V581">
        <f t="shared" si="440"/>
        <v>-1.4794993968749011</v>
      </c>
      <c r="X581">
        <f t="shared" si="457"/>
        <v>-56.153073935575108</v>
      </c>
      <c r="Y581">
        <f t="shared" si="441"/>
        <v>-150.56924249478152</v>
      </c>
      <c r="Z581">
        <f t="shared" si="458"/>
        <v>29.43075750521848</v>
      </c>
      <c r="AC581">
        <v>1</v>
      </c>
      <c r="AD581">
        <f t="shared" si="442"/>
        <v>207.53361045900002</v>
      </c>
      <c r="AE581">
        <f t="shared" si="443"/>
        <v>-2.392788859452665</v>
      </c>
      <c r="AF581">
        <f t="shared" si="444"/>
        <v>0.21906325548449998</v>
      </c>
      <c r="AG581">
        <f t="shared" si="473"/>
        <v>7.4600748759586581</v>
      </c>
      <c r="AH581">
        <f t="shared" si="474"/>
        <v>-86.049958548207428</v>
      </c>
      <c r="AJ581">
        <f t="shared" si="445"/>
        <v>10500</v>
      </c>
      <c r="AK581">
        <f t="shared" si="446"/>
        <v>4794.0264016029005</v>
      </c>
      <c r="AL581">
        <v>1</v>
      </c>
      <c r="AM581">
        <f t="shared" si="447"/>
        <v>218.3668649249598</v>
      </c>
      <c r="AN581">
        <f t="shared" si="475"/>
        <v>22.173735369864527</v>
      </c>
      <c r="AO581">
        <f t="shared" si="476"/>
        <v>-47.982674790109591</v>
      </c>
      <c r="AQ581">
        <f t="shared" si="448"/>
        <v>7.4245107303112551E-4</v>
      </c>
      <c r="AR581">
        <f t="shared" si="449"/>
        <v>-2.724795438024231</v>
      </c>
      <c r="AT581">
        <f t="shared" si="470"/>
        <v>-234.46299575373325</v>
      </c>
      <c r="AU581">
        <f t="shared" si="471"/>
        <v>-20.391065873389731</v>
      </c>
      <c r="AV581">
        <f t="shared" si="459"/>
        <v>-3.0548417034386528</v>
      </c>
      <c r="AW581">
        <f t="shared" si="460"/>
        <v>-103.07444493814032</v>
      </c>
      <c r="AX581">
        <f t="shared" si="461"/>
        <v>-195.62015278452461</v>
      </c>
      <c r="AY581">
        <f t="shared" si="469"/>
        <v>-2.0557403775948808</v>
      </c>
      <c r="BA581">
        <f t="shared" si="450"/>
        <v>1.0643721304967455</v>
      </c>
      <c r="BB581">
        <f t="shared" si="462"/>
        <v>0.54186988936576752</v>
      </c>
      <c r="BC581">
        <f t="shared" si="463"/>
        <v>-0.99910132584377198</v>
      </c>
      <c r="BD581">
        <f t="shared" si="451"/>
        <v>-237.24428934218412</v>
      </c>
      <c r="BF581">
        <f t="shared" si="452"/>
        <v>-59.876454663665619</v>
      </c>
      <c r="BG581">
        <f t="shared" si="453"/>
        <v>-187.96579838614647</v>
      </c>
      <c r="BH581">
        <f t="shared" si="464"/>
        <v>-7.9657983861464743</v>
      </c>
      <c r="BI581">
        <f t="shared" si="465"/>
        <v>-7.9657983861464743</v>
      </c>
      <c r="BJ581">
        <f t="shared" si="454"/>
        <v>0</v>
      </c>
      <c r="BK581">
        <f t="shared" si="466"/>
        <v>0</v>
      </c>
      <c r="BM581">
        <f t="shared" si="467"/>
        <v>-60.418324553031383</v>
      </c>
      <c r="BN581">
        <f t="shared" si="455"/>
        <v>-130.72150904396239</v>
      </c>
      <c r="BQ581" s="56">
        <f t="shared" si="468"/>
        <v>17.443830689650902</v>
      </c>
    </row>
    <row r="582" spans="1:69" x14ac:dyDescent="0.2">
      <c r="A582">
        <f t="shared" si="472"/>
        <v>1840000</v>
      </c>
      <c r="B582">
        <f t="shared" si="456"/>
        <v>1840</v>
      </c>
      <c r="C582">
        <f t="shared" si="425"/>
        <v>1.5285880096869109</v>
      </c>
      <c r="D582">
        <f t="shared" si="426"/>
        <v>0.8576739105646306</v>
      </c>
      <c r="F582">
        <f t="shared" si="427"/>
        <v>4.1401271296283343E-5</v>
      </c>
      <c r="G582">
        <f t="shared" si="428"/>
        <v>3.73444735246345E-3</v>
      </c>
      <c r="H582">
        <f t="shared" si="429"/>
        <v>-3.1378582026475366</v>
      </c>
      <c r="J582">
        <f t="shared" si="430"/>
        <v>15</v>
      </c>
      <c r="M582">
        <f t="shared" si="431"/>
        <v>4.3357018435696956E-4</v>
      </c>
      <c r="N582">
        <f t="shared" si="432"/>
        <v>-1.5707963250000001</v>
      </c>
      <c r="O582">
        <f t="shared" si="433"/>
        <v>208.10149982356774</v>
      </c>
      <c r="P582">
        <f t="shared" si="434"/>
        <v>1.5659909609063836</v>
      </c>
      <c r="Q582">
        <f t="shared" si="435"/>
        <v>218.96415349719473</v>
      </c>
      <c r="R582">
        <f t="shared" si="436"/>
        <v>1.5662293533417326</v>
      </c>
      <c r="S582">
        <f t="shared" si="437"/>
        <v>0.90924221144271467</v>
      </c>
      <c r="T582">
        <f t="shared" si="438"/>
        <v>-0.42933633643037927</v>
      </c>
      <c r="U582">
        <f t="shared" si="439"/>
        <v>9.0924460099942983E-2</v>
      </c>
      <c r="V582">
        <f t="shared" si="440"/>
        <v>-1.4797461156503222</v>
      </c>
      <c r="X582">
        <f t="shared" si="457"/>
        <v>-56.190733056062705</v>
      </c>
      <c r="Y582">
        <f t="shared" si="441"/>
        <v>-150.56429925273363</v>
      </c>
      <c r="Z582">
        <f t="shared" si="458"/>
        <v>29.435700747266367</v>
      </c>
      <c r="AC582">
        <v>1</v>
      </c>
      <c r="AD582">
        <f t="shared" si="442"/>
        <v>208.09909713600001</v>
      </c>
      <c r="AE582">
        <f t="shared" si="443"/>
        <v>-2.4058463460454655</v>
      </c>
      <c r="AF582">
        <f t="shared" si="444"/>
        <v>0.21966015808799999</v>
      </c>
      <c r="AG582">
        <f t="shared" si="473"/>
        <v>7.4199208088837159</v>
      </c>
      <c r="AH582">
        <f t="shared" si="474"/>
        <v>-85.819793312028224</v>
      </c>
      <c r="AJ582">
        <f t="shared" si="445"/>
        <v>10500</v>
      </c>
      <c r="AK582">
        <f t="shared" si="446"/>
        <v>4807.0891438416002</v>
      </c>
      <c r="AL582">
        <v>1</v>
      </c>
      <c r="AM582">
        <f t="shared" si="447"/>
        <v>218.9618700064992</v>
      </c>
      <c r="AN582">
        <f t="shared" si="475"/>
        <v>22.172542809534836</v>
      </c>
      <c r="AO582">
        <f t="shared" si="476"/>
        <v>-47.852292533304826</v>
      </c>
      <c r="AQ582">
        <f t="shared" si="448"/>
        <v>7.3842149556788345E-4</v>
      </c>
      <c r="AR582">
        <f t="shared" si="449"/>
        <v>-2.7173911036898111</v>
      </c>
      <c r="AT582">
        <f t="shared" si="470"/>
        <v>-233.20046383758313</v>
      </c>
      <c r="AU582">
        <f t="shared" si="471"/>
        <v>-20.22619797627031</v>
      </c>
      <c r="AV582">
        <f t="shared" si="459"/>
        <v>-3.0550760692099859</v>
      </c>
      <c r="AW582">
        <f t="shared" si="460"/>
        <v>-102.39563539199268</v>
      </c>
      <c r="AX582">
        <f t="shared" si="461"/>
        <v>-195.08784321468181</v>
      </c>
      <c r="AY582">
        <f t="shared" si="469"/>
        <v>-2.0541409263081212</v>
      </c>
      <c r="BA582">
        <f t="shared" si="450"/>
        <v>1.0624009281525881</v>
      </c>
      <c r="BB582">
        <f t="shared" si="462"/>
        <v>0.52576882879532338</v>
      </c>
      <c r="BC582">
        <f t="shared" si="463"/>
        <v>-1.0009351429018647</v>
      </c>
      <c r="BD582">
        <f t="shared" si="451"/>
        <v>-237.34935932013198</v>
      </c>
      <c r="BF582">
        <f t="shared" si="452"/>
        <v>-59.926323475861388</v>
      </c>
      <c r="BG582">
        <f t="shared" si="453"/>
        <v>-187.99429591779148</v>
      </c>
      <c r="BH582">
        <f t="shared" si="464"/>
        <v>-7.9942959177914759</v>
      </c>
      <c r="BI582">
        <f t="shared" si="465"/>
        <v>-7.9942959177914759</v>
      </c>
      <c r="BJ582">
        <f t="shared" si="454"/>
        <v>0</v>
      </c>
      <c r="BK582">
        <f t="shared" si="466"/>
        <v>0</v>
      </c>
      <c r="BM582">
        <f t="shared" si="467"/>
        <v>-60.452092304656716</v>
      </c>
      <c r="BN582">
        <f t="shared" si="455"/>
        <v>-130.64493659765949</v>
      </c>
      <c r="BQ582" s="56">
        <f t="shared" si="468"/>
        <v>17.42772962908046</v>
      </c>
    </row>
    <row r="583" spans="1:69" x14ac:dyDescent="0.2">
      <c r="A583">
        <f t="shared" si="472"/>
        <v>1845000</v>
      </c>
      <c r="B583">
        <f t="shared" si="456"/>
        <v>1845</v>
      </c>
      <c r="C583">
        <f t="shared" si="425"/>
        <v>1.5309654476132277</v>
      </c>
      <c r="D583">
        <f t="shared" si="426"/>
        <v>0.85901634834111396</v>
      </c>
      <c r="F583">
        <f t="shared" si="427"/>
        <v>4.117717036518284E-5</v>
      </c>
      <c r="G583">
        <f t="shared" si="428"/>
        <v>3.7243261413592139E-3</v>
      </c>
      <c r="H583">
        <f t="shared" si="429"/>
        <v>-3.1378683238586409</v>
      </c>
      <c r="J583">
        <f t="shared" si="430"/>
        <v>15</v>
      </c>
      <c r="M583">
        <f t="shared" si="431"/>
        <v>4.3239519740749267E-4</v>
      </c>
      <c r="N583">
        <f t="shared" si="432"/>
        <v>-1.5707963250000001</v>
      </c>
      <c r="O583">
        <f t="shared" si="433"/>
        <v>208.66697998929416</v>
      </c>
      <c r="P583">
        <f t="shared" si="434"/>
        <v>1.5660039833785075</v>
      </c>
      <c r="Q583">
        <f t="shared" si="435"/>
        <v>219.55915239047673</v>
      </c>
      <c r="R583">
        <f t="shared" si="436"/>
        <v>1.5662417297921618</v>
      </c>
      <c r="S583">
        <f t="shared" si="437"/>
        <v>0.90881380168749426</v>
      </c>
      <c r="T583">
        <f t="shared" si="438"/>
        <v>-0.43036435187167388</v>
      </c>
      <c r="U583">
        <f t="shared" si="439"/>
        <v>9.06800812599209E-2</v>
      </c>
      <c r="V583">
        <f t="shared" si="440"/>
        <v>-1.4799915082221664</v>
      </c>
      <c r="X583">
        <f t="shared" si="457"/>
        <v>-56.228278006233396</v>
      </c>
      <c r="Y583">
        <f t="shared" si="441"/>
        <v>-150.55946879024097</v>
      </c>
      <c r="Z583">
        <f t="shared" si="458"/>
        <v>29.44053120975903</v>
      </c>
      <c r="AC583">
        <v>1</v>
      </c>
      <c r="AD583">
        <f t="shared" si="442"/>
        <v>208.66458381300001</v>
      </c>
      <c r="AE583">
        <f t="shared" si="443"/>
        <v>-2.418939363214029</v>
      </c>
      <c r="AF583">
        <f t="shared" si="444"/>
        <v>0.2202570606915</v>
      </c>
      <c r="AG583">
        <f t="shared" si="473"/>
        <v>7.3800891758645255</v>
      </c>
      <c r="AH583">
        <f t="shared" si="474"/>
        <v>-85.59084622459963</v>
      </c>
      <c r="AJ583">
        <f t="shared" si="445"/>
        <v>10500</v>
      </c>
      <c r="AK583">
        <f t="shared" si="446"/>
        <v>4820.1518860803008</v>
      </c>
      <c r="AL583">
        <v>1</v>
      </c>
      <c r="AM583">
        <f t="shared" si="447"/>
        <v>219.55687508803862</v>
      </c>
      <c r="AN583">
        <f t="shared" si="475"/>
        <v>22.171359931405764</v>
      </c>
      <c r="AO583">
        <f t="shared" si="476"/>
        <v>-47.722616911299916</v>
      </c>
      <c r="AQ583">
        <f t="shared" si="448"/>
        <v>7.3442463448236759E-4</v>
      </c>
      <c r="AR583">
        <f t="shared" si="449"/>
        <v>-2.7100269012399365</v>
      </c>
      <c r="AT583">
        <f t="shared" si="470"/>
        <v>-231.94807564926023</v>
      </c>
      <c r="AU583">
        <f t="shared" si="471"/>
        <v>-20.063100226096072</v>
      </c>
      <c r="AV583">
        <f t="shared" si="459"/>
        <v>-3.0553091757300592</v>
      </c>
      <c r="AW583">
        <f t="shared" si="460"/>
        <v>-101.72233960303011</v>
      </c>
      <c r="AX583">
        <f t="shared" si="461"/>
        <v>-194.55842496605911</v>
      </c>
      <c r="AY583">
        <f t="shared" si="469"/>
        <v>-2.0525461651217003</v>
      </c>
      <c r="BA583">
        <f t="shared" si="450"/>
        <v>1.06043492016431</v>
      </c>
      <c r="BB583">
        <f t="shared" si="462"/>
        <v>0.50968041262363895</v>
      </c>
      <c r="BC583">
        <f t="shared" si="463"/>
        <v>-1.0027630106083589</v>
      </c>
      <c r="BD583">
        <f t="shared" si="451"/>
        <v>-237.45408842534204</v>
      </c>
      <c r="BF583">
        <f t="shared" si="452"/>
        <v>-59.976056637547323</v>
      </c>
      <c r="BG583">
        <f t="shared" si="453"/>
        <v>-188.02268890674267</v>
      </c>
      <c r="BH583">
        <f t="shared" si="464"/>
        <v>-8.0226889067426725</v>
      </c>
      <c r="BI583">
        <f t="shared" si="465"/>
        <v>-8.0226889067426725</v>
      </c>
      <c r="BJ583">
        <f t="shared" si="454"/>
        <v>0</v>
      </c>
      <c r="BK583">
        <f t="shared" si="466"/>
        <v>0</v>
      </c>
      <c r="BM583">
        <f t="shared" si="467"/>
        <v>-60.485737050170968</v>
      </c>
      <c r="BN583">
        <f t="shared" si="455"/>
        <v>-130.56860048140067</v>
      </c>
      <c r="BQ583" s="56">
        <f t="shared" si="468"/>
        <v>17.411641212908776</v>
      </c>
    </row>
    <row r="584" spans="1:69" x14ac:dyDescent="0.2">
      <c r="A584">
        <f t="shared" si="472"/>
        <v>1850000</v>
      </c>
      <c r="B584">
        <f t="shared" si="456"/>
        <v>1850</v>
      </c>
      <c r="C584">
        <f t="shared" si="425"/>
        <v>1.5333456359938251</v>
      </c>
      <c r="D584">
        <f t="shared" si="426"/>
        <v>0.86035462083290914</v>
      </c>
      <c r="F584">
        <f t="shared" si="427"/>
        <v>4.0954884096590026E-5</v>
      </c>
      <c r="G584">
        <f t="shared" si="428"/>
        <v>3.7142596456220677E-3</v>
      </c>
      <c r="H584">
        <f t="shared" si="429"/>
        <v>-3.1378783903543783</v>
      </c>
      <c r="J584">
        <f t="shared" si="430"/>
        <v>15</v>
      </c>
      <c r="M584">
        <f t="shared" si="431"/>
        <v>4.312265617388238E-4</v>
      </c>
      <c r="N584">
        <f t="shared" si="432"/>
        <v>-1.5707963250000001</v>
      </c>
      <c r="O584">
        <f t="shared" si="433"/>
        <v>209.23246019021607</v>
      </c>
      <c r="P584">
        <f t="shared" si="434"/>
        <v>1.5660169354605025</v>
      </c>
      <c r="Q584">
        <f t="shared" si="435"/>
        <v>220.15415131720823</v>
      </c>
      <c r="R584">
        <f t="shared" si="436"/>
        <v>1.5662540393442428</v>
      </c>
      <c r="S584">
        <f t="shared" si="437"/>
        <v>0.90838483681287141</v>
      </c>
      <c r="T584">
        <f t="shared" si="438"/>
        <v>-0.43139139794016834</v>
      </c>
      <c r="U584">
        <f t="shared" si="439"/>
        <v>9.0437007136796796E-2</v>
      </c>
      <c r="V584">
        <f t="shared" si="440"/>
        <v>-1.4802355852256968</v>
      </c>
      <c r="X584">
        <f t="shared" si="457"/>
        <v>-56.265709520310068</v>
      </c>
      <c r="Y584">
        <f t="shared" si="441"/>
        <v>-150.55475079459012</v>
      </c>
      <c r="Z584">
        <f t="shared" si="458"/>
        <v>29.44524920540988</v>
      </c>
      <c r="AC584">
        <v>1</v>
      </c>
      <c r="AD584">
        <f t="shared" si="442"/>
        <v>209.23007049000003</v>
      </c>
      <c r="AE584">
        <f t="shared" si="443"/>
        <v>-2.4320679109583545</v>
      </c>
      <c r="AF584">
        <f t="shared" si="444"/>
        <v>0.22085396329499998</v>
      </c>
      <c r="AG584">
        <f t="shared" si="473"/>
        <v>7.3405765434763817</v>
      </c>
      <c r="AH584">
        <f t="shared" si="474"/>
        <v>-85.363107720826292</v>
      </c>
      <c r="AJ584">
        <f t="shared" si="445"/>
        <v>10500</v>
      </c>
      <c r="AK584">
        <f t="shared" si="446"/>
        <v>4833.2146283190004</v>
      </c>
      <c r="AL584">
        <v>1</v>
      </c>
      <c r="AM584">
        <f t="shared" si="447"/>
        <v>220.15188016957802</v>
      </c>
      <c r="AN584">
        <f t="shared" si="475"/>
        <v>22.170186630950059</v>
      </c>
      <c r="AO584">
        <f t="shared" si="476"/>
        <v>-47.59364219509829</v>
      </c>
      <c r="AQ584">
        <f t="shared" si="448"/>
        <v>7.3046013656244435E-4</v>
      </c>
      <c r="AR584">
        <f t="shared" si="449"/>
        <v>-2.7027025052810441</v>
      </c>
      <c r="AT584">
        <f t="shared" si="470"/>
        <v>-230.70572309710846</v>
      </c>
      <c r="AU584">
        <f t="shared" si="471"/>
        <v>-19.901748961584033</v>
      </c>
      <c r="AV584">
        <f t="shared" si="459"/>
        <v>-3.0555410330912975</v>
      </c>
      <c r="AW584">
        <f t="shared" si="460"/>
        <v>-101.05449801095075</v>
      </c>
      <c r="AX584">
        <f t="shared" si="461"/>
        <v>-194.03187452586127</v>
      </c>
      <c r="AY584">
        <f t="shared" si="469"/>
        <v>-2.0509560725922578</v>
      </c>
      <c r="BA584">
        <f t="shared" si="450"/>
        <v>1.0584740991577299</v>
      </c>
      <c r="BB584">
        <f t="shared" si="462"/>
        <v>0.49360470614499108</v>
      </c>
      <c r="BC584">
        <f t="shared" si="463"/>
        <v>-1.0045849604990398</v>
      </c>
      <c r="BD584">
        <f t="shared" si="451"/>
        <v>-237.55847846468166</v>
      </c>
      <c r="BF584">
        <f t="shared" si="452"/>
        <v>-60.025654858661817</v>
      </c>
      <c r="BG584">
        <f t="shared" si="453"/>
        <v>-188.05097834809729</v>
      </c>
      <c r="BH584">
        <f t="shared" si="464"/>
        <v>-8.0509783480972885</v>
      </c>
      <c r="BI584">
        <f t="shared" si="465"/>
        <v>-8.0509783480972885</v>
      </c>
      <c r="BJ584">
        <f t="shared" si="454"/>
        <v>0</v>
      </c>
      <c r="BK584">
        <f t="shared" si="466"/>
        <v>0</v>
      </c>
      <c r="BM584">
        <f t="shared" si="467"/>
        <v>-60.519259564806809</v>
      </c>
      <c r="BN584">
        <f t="shared" si="455"/>
        <v>-130.49249988341563</v>
      </c>
      <c r="BQ584" s="56">
        <f t="shared" si="468"/>
        <v>17.395565506430128</v>
      </c>
    </row>
    <row r="585" spans="1:69" x14ac:dyDescent="0.2">
      <c r="A585">
        <f t="shared" si="472"/>
        <v>1855000</v>
      </c>
      <c r="B585">
        <f t="shared" si="456"/>
        <v>1855</v>
      </c>
      <c r="C585">
        <f t="shared" ref="C585:C626" si="477">SQRT((A585/Fesr)^2+1)</f>
        <v>1.5357285620401158</v>
      </c>
      <c r="D585">
        <f t="shared" ref="D585:D614" si="478">ATAN(A585/Fesr)</f>
        <v>0.86168874262453621</v>
      </c>
      <c r="F585">
        <f t="shared" ref="F585:F626" si="479">(Ro/(Ro+Rdcr))/SQRT((A585/(Q*Fo))^2+(1-(A585^2/Fo^2))^2)</f>
        <v>4.0734392950669718E-5</v>
      </c>
      <c r="G585">
        <f t="shared" ref="G585:G614" si="480">-ATAN(A585*Fo/(Q*(Fo^2-A585^2)))</f>
        <v>3.7042474227439916E-3</v>
      </c>
      <c r="H585">
        <f t="shared" ref="H585:H648" si="481">IF(G585&gt;0,G585-Pi,G585)</f>
        <v>-3.1378884025772562</v>
      </c>
      <c r="J585">
        <f t="shared" ref="J585:J648" si="482">Vin/Vramp</f>
        <v>15</v>
      </c>
      <c r="M585">
        <f t="shared" ref="M585:M614" si="483">1/(2*Pi*_Rfb1*(Cc1ea_u+Cc2ea_u)*A585)</f>
        <v>4.30064225992897E-4</v>
      </c>
      <c r="N585">
        <f t="shared" ref="N585:N648" si="484">-Pi/2</f>
        <v>-1.5707963250000001</v>
      </c>
      <c r="O585">
        <f t="shared" ref="O585:O614" si="485">SQRT(1+(A585/Fz1_u)^2)</f>
        <v>209.79794042604888</v>
      </c>
      <c r="P585">
        <f t="shared" ref="P585:P648" si="486">ATAN2(Fz1_u,A585)</f>
        <v>1.5660298177215437</v>
      </c>
      <c r="Q585">
        <f t="shared" ref="Q585:Q614" si="487">SQRT(1+(A585/Fz2_u)^2)</f>
        <v>220.74915027711882</v>
      </c>
      <c r="R585">
        <f t="shared" ref="R585:R648" si="488">ATAN2(Fz2_u,A585)</f>
        <v>1.566266282538918</v>
      </c>
      <c r="S585">
        <f t="shared" ref="S585:S614" si="489">1/SQRT(1+(A585/Fp1_u)^2)</f>
        <v>0.90795532031749904</v>
      </c>
      <c r="T585">
        <f t="shared" ref="T585:T648" si="490">-ATAN2(Fp1_u,A585)</f>
        <v>-0.43241747384269064</v>
      </c>
      <c r="U585">
        <f t="shared" ref="U585:U626" si="491">1/SQRT(1+(A585/Fp2_u)^2)</f>
        <v>9.0195227353012192E-2</v>
      </c>
      <c r="V585">
        <f t="shared" ref="V585:V648" si="492">-ATAN2(Fp2_u,A585)</f>
        <v>-1.4804783571830753</v>
      </c>
      <c r="X585">
        <f t="shared" si="457"/>
        <v>-56.303028326245197</v>
      </c>
      <c r="Y585">
        <f t="shared" ref="Y585:Y614" si="493">(180/Pi)*(D585+H585+N585+P585+R585+T585+V585)</f>
        <v>-150.55014494932826</v>
      </c>
      <c r="Z585">
        <f t="shared" si="458"/>
        <v>29.449855050671744</v>
      </c>
      <c r="AC585">
        <v>1</v>
      </c>
      <c r="AD585">
        <f t="shared" ref="AD585:AD626" si="494">Rcea1_u*Cc1ea_u*A585*2*Pi</f>
        <v>209.79555716700003</v>
      </c>
      <c r="AE585">
        <f t="shared" ref="AE585:AE626" si="495">-Rcea1_u*Cc1ea_u*Cc2ea_u*(A585*2*Pi)^2</f>
        <v>-2.4452319892784433</v>
      </c>
      <c r="AF585">
        <f t="shared" ref="AF585:AF626" si="496">(Cc2ea_u+Cc1ea_u)*A585*2*Pi</f>
        <v>0.22145086589849999</v>
      </c>
      <c r="AG585">
        <f t="shared" si="473"/>
        <v>7.3013795237472126</v>
      </c>
      <c r="AH585">
        <f t="shared" si="474"/>
        <v>-85.136568334623959</v>
      </c>
      <c r="AJ585">
        <f t="shared" ref="AJ585:AJ648" si="497">_Rfb1</f>
        <v>10500</v>
      </c>
      <c r="AK585">
        <f t="shared" ref="AK585:AK626" si="498">_Rfb1*Rcea2_u*Cc3ea_u*A585*2*Pi</f>
        <v>4846.277370557701</v>
      </c>
      <c r="AL585">
        <v>1</v>
      </c>
      <c r="AM585">
        <f t="shared" ref="AM585:AM626" si="499">(_Rfb1+Rcea2_u)*Cc3ea_u*A585*2*Pi</f>
        <v>220.74688525111742</v>
      </c>
      <c r="AN585">
        <f t="shared" si="475"/>
        <v>22.169022805047231</v>
      </c>
      <c r="AO585">
        <f t="shared" si="476"/>
        <v>-47.465362717465183</v>
      </c>
      <c r="AQ585">
        <f t="shared" ref="AQ585:AQ626" si="500">Eadcg/(1+(Eadcg*A585/GBP)^2)</f>
        <v>7.2652765334982653E-4</v>
      </c>
      <c r="AR585">
        <f t="shared" ref="AR585:AR626" si="501">-(A585*Eadcg*Eadcg/GBP)/(1+(Eadcg*A585/GBP)^2)</f>
        <v>-2.6954175939278562</v>
      </c>
      <c r="AT585">
        <f t="shared" si="470"/>
        <v>-229.47329952165501</v>
      </c>
      <c r="AU585">
        <f t="shared" si="471"/>
        <v>-19.742120899459241</v>
      </c>
      <c r="AV585">
        <f t="shared" si="459"/>
        <v>-3.0557716512788766</v>
      </c>
      <c r="AW585">
        <f t="shared" si="460"/>
        <v>-100.39205185758939</v>
      </c>
      <c r="AX585">
        <f t="shared" si="461"/>
        <v>-193.50816863578498</v>
      </c>
      <c r="AY585">
        <f t="shared" si="469"/>
        <v>-2.0493706273737327</v>
      </c>
      <c r="BA585">
        <f t="shared" ref="BA585:BA648" si="502">SQRT(AT585^2+AU585^2)/SQRT(AW585^2+AX585^2)</f>
        <v>1.0565184576034303</v>
      </c>
      <c r="BB585">
        <f t="shared" si="462"/>
        <v>0.47754177344194149</v>
      </c>
      <c r="BC585">
        <f t="shared" si="463"/>
        <v>-1.006401023905144</v>
      </c>
      <c r="BD585">
        <f t="shared" ref="BD585:BD648" si="503">BC585*180/Pi-180</f>
        <v>-237.66253123329847</v>
      </c>
      <c r="BF585">
        <f t="shared" ref="BF585:BF648" si="504">20*LOG(BA585*J585*F585*C585)</f>
        <v>-60.075118843846596</v>
      </c>
      <c r="BG585">
        <f t="shared" ref="BG585:BG648" si="505">(180/Pi)*(D585+H585+BC585)</f>
        <v>-188.07916522672519</v>
      </c>
      <c r="BH585">
        <f t="shared" si="464"/>
        <v>-8.0791652267251948</v>
      </c>
      <c r="BI585">
        <f t="shared" si="465"/>
        <v>-8.0791652267251948</v>
      </c>
      <c r="BJ585">
        <f t="shared" ref="BJ585:BJ648" si="506">SUM((BF586&lt;0)*(BF585&gt;0))*A585</f>
        <v>0</v>
      </c>
      <c r="BK585">
        <f t="shared" si="466"/>
        <v>0</v>
      </c>
      <c r="BM585">
        <f t="shared" si="467"/>
        <v>-60.552660617288538</v>
      </c>
      <c r="BN585">
        <f t="shared" ref="BN585:BN648" si="507">(H585+D585)*180/Pi</f>
        <v>-130.41663399342676</v>
      </c>
      <c r="BQ585" s="56">
        <f t="shared" si="468"/>
        <v>17.379502573727077</v>
      </c>
    </row>
    <row r="586" spans="1:69" x14ac:dyDescent="0.2">
      <c r="A586">
        <f t="shared" si="472"/>
        <v>1860000</v>
      </c>
      <c r="B586">
        <f t="shared" ref="B586:B649" si="508">A586/1000</f>
        <v>1860</v>
      </c>
      <c r="C586">
        <f t="shared" si="477"/>
        <v>1.5381142130281005</v>
      </c>
      <c r="D586">
        <f t="shared" si="478"/>
        <v>0.86301872826928971</v>
      </c>
      <c r="F586">
        <f t="shared" si="479"/>
        <v>4.0515677649883602E-5</v>
      </c>
      <c r="G586">
        <f t="shared" si="480"/>
        <v>3.6942890349759977E-3</v>
      </c>
      <c r="H586">
        <f t="shared" si="481"/>
        <v>-3.1378983609650244</v>
      </c>
      <c r="J586">
        <f t="shared" si="482"/>
        <v>15</v>
      </c>
      <c r="M586">
        <f t="shared" si="483"/>
        <v>4.2890813936388391E-4</v>
      </c>
      <c r="N586">
        <f t="shared" si="484"/>
        <v>-1.5707963250000001</v>
      </c>
      <c r="O586">
        <f t="shared" si="485"/>
        <v>210.36342069651101</v>
      </c>
      <c r="P586">
        <f t="shared" si="486"/>
        <v>1.5660426307246864</v>
      </c>
      <c r="Q586">
        <f t="shared" si="487"/>
        <v>221.34414926994086</v>
      </c>
      <c r="R586">
        <f t="shared" si="488"/>
        <v>1.5662784599113131</v>
      </c>
      <c r="S586">
        <f t="shared" si="489"/>
        <v>0.90752525569480658</v>
      </c>
      <c r="T586">
        <f t="shared" si="490"/>
        <v>-0.43344257879573761</v>
      </c>
      <c r="U586">
        <f t="shared" si="491"/>
        <v>8.9954731640311425E-2</v>
      </c>
      <c r="V586">
        <f t="shared" si="492"/>
        <v>-1.4807198345048589</v>
      </c>
      <c r="X586">
        <f t="shared" ref="X586:X614" si="509">20*LOG(C586*J586*O586*Q586*F586*M586*S586*U586)</f>
        <v>-56.340235145785087</v>
      </c>
      <c r="Y586">
        <f t="shared" si="493"/>
        <v>-150.54565093436278</v>
      </c>
      <c r="Z586">
        <f t="shared" ref="Z586:Z649" si="510">Y586+180</f>
        <v>29.454349065637217</v>
      </c>
      <c r="AC586">
        <v>1</v>
      </c>
      <c r="AD586">
        <f t="shared" si="494"/>
        <v>210.36104384400005</v>
      </c>
      <c r="AE586">
        <f t="shared" si="495"/>
        <v>-2.458431598174295</v>
      </c>
      <c r="AF586">
        <f t="shared" si="496"/>
        <v>0.222047768502</v>
      </c>
      <c r="AG586">
        <f t="shared" si="473"/>
        <v>7.2624947734395056</v>
      </c>
      <c r="AH586">
        <f t="shared" si="474"/>
        <v>-84.911218697653908</v>
      </c>
      <c r="AJ586">
        <f t="shared" si="497"/>
        <v>10500</v>
      </c>
      <c r="AK586">
        <f t="shared" si="498"/>
        <v>4859.3401127964007</v>
      </c>
      <c r="AL586">
        <v>1</v>
      </c>
      <c r="AM586">
        <f t="shared" si="499"/>
        <v>221.34189033265685</v>
      </c>
      <c r="AN586">
        <f t="shared" si="475"/>
        <v>22.167868351960873</v>
      </c>
      <c r="AO586">
        <f t="shared" si="476"/>
        <v>-47.337772872097567</v>
      </c>
      <c r="AQ586">
        <f t="shared" si="500"/>
        <v>7.2262684106350148E-4</v>
      </c>
      <c r="AR586">
        <f t="shared" si="501"/>
        <v>-2.6881718487562254</v>
      </c>
      <c r="AT586">
        <f t="shared" si="470"/>
        <v>-228.25069967296011</v>
      </c>
      <c r="AU586">
        <f t="shared" si="471"/>
        <v>-19.58419312743764</v>
      </c>
      <c r="AV586">
        <f t="shared" ref="AV586:AV649" si="511">ATAN2(AT586,AU586)</f>
        <v>-3.0560010401721396</v>
      </c>
      <c r="AW586">
        <f t="shared" ref="AW586:AW649" si="512">AG586-AH586*AO586/_Rfb2+AG586*AN586/_Rfb2+AN586-AO586*AR586+AQ586*AN586</f>
        <v>-99.734943173987219</v>
      </c>
      <c r="AX586">
        <f t="shared" ref="AX586:AX649" si="513">AH586+AH586*AN586/_Rfb2+AG586*AO586/_Rfb2+AO586+AO586*AQ586+AN586*AR586</f>
        <v>-192.98728428858232</v>
      </c>
      <c r="AY586">
        <f t="shared" si="469"/>
        <v>-2.0477898082172121</v>
      </c>
      <c r="BA586">
        <f t="shared" si="502"/>
        <v>1.0545679878201795</v>
      </c>
      <c r="BB586">
        <f t="shared" ref="BB586:BB649" si="514">20*LOG(BA586)</f>
        <v>0.46149167740063607</v>
      </c>
      <c r="BC586">
        <f t="shared" ref="BC586:BC649" si="515">AV586-AY586</f>
        <v>-1.0082112319549275</v>
      </c>
      <c r="BD586">
        <f t="shared" si="503"/>
        <v>-237.76624851471018</v>
      </c>
      <c r="BF586">
        <f t="shared" si="504"/>
        <v>-60.124449292498866</v>
      </c>
      <c r="BG586">
        <f t="shared" si="505"/>
        <v>-188.10725051738299</v>
      </c>
      <c r="BH586">
        <f t="shared" ref="BH586:BH649" si="516">IF(BG586&gt;180,BG586-180,BG586+180)</f>
        <v>-8.1072505173829938</v>
      </c>
      <c r="BI586">
        <f t="shared" ref="BI586:BI649" si="517">IF(BH586&gt;180,BH586-360,BH586)</f>
        <v>-8.1072505173829938</v>
      </c>
      <c r="BJ586">
        <f t="shared" si="506"/>
        <v>0</v>
      </c>
      <c r="BK586">
        <f t="shared" ref="BK586:BK649" si="518">IF(BJ586&gt;0,BI586,0)</f>
        <v>0</v>
      </c>
      <c r="BM586">
        <f t="shared" ref="BM586:BM649" si="519">20*LOG(J586*F586*C586)</f>
        <v>-60.585940969899497</v>
      </c>
      <c r="BN586">
        <f t="shared" si="507"/>
        <v>-130.34100200267281</v>
      </c>
      <c r="BQ586" s="56">
        <f t="shared" ref="BQ586:BQ649" si="520">20*LOG(BA586*7)</f>
        <v>17.363452477685772</v>
      </c>
    </row>
    <row r="587" spans="1:69" x14ac:dyDescent="0.2">
      <c r="A587">
        <f t="shared" si="472"/>
        <v>1865000</v>
      </c>
      <c r="B587">
        <f t="shared" si="508"/>
        <v>1865</v>
      </c>
      <c r="C587">
        <f t="shared" si="477"/>
        <v>1.5405025762980926</v>
      </c>
      <c r="D587">
        <f t="shared" si="478"/>
        <v>0.86434459228889626</v>
      </c>
      <c r="F587">
        <f t="shared" si="479"/>
        <v>4.0298719174776331E-5</v>
      </c>
      <c r="G587">
        <f t="shared" si="480"/>
        <v>3.6843840492643172E-3</v>
      </c>
      <c r="H587">
        <f t="shared" si="481"/>
        <v>-3.137908265950736</v>
      </c>
      <c r="J587">
        <f t="shared" si="482"/>
        <v>15</v>
      </c>
      <c r="M587">
        <f t="shared" si="483"/>
        <v>4.2775825159079039E-4</v>
      </c>
      <c r="N587">
        <f t="shared" si="484"/>
        <v>-1.5707963250000001</v>
      </c>
      <c r="O587">
        <f t="shared" si="485"/>
        <v>210.92890100132399</v>
      </c>
      <c r="P587">
        <f t="shared" si="486"/>
        <v>1.5660553750269477</v>
      </c>
      <c r="Q587">
        <f t="shared" si="487"/>
        <v>221.93914829540969</v>
      </c>
      <c r="R587">
        <f t="shared" si="488"/>
        <v>1.5662905719908153</v>
      </c>
      <c r="S587">
        <f t="shared" si="489"/>
        <v>0.9070946464329509</v>
      </c>
      <c r="T587">
        <f t="shared" si="490"/>
        <v>-0.43446671202545101</v>
      </c>
      <c r="U587">
        <f t="shared" si="491"/>
        <v>8.9715509838312418E-2</v>
      </c>
      <c r="V587">
        <f t="shared" si="492"/>
        <v>-1.4809600274914696</v>
      </c>
      <c r="X587">
        <f t="shared" si="509"/>
        <v>-56.377330694533264</v>
      </c>
      <c r="Y587">
        <f t="shared" si="493"/>
        <v>-150.5412684260576</v>
      </c>
      <c r="Z587">
        <f t="shared" si="510"/>
        <v>29.458731573942401</v>
      </c>
      <c r="AC587">
        <v>1</v>
      </c>
      <c r="AD587">
        <f t="shared" si="494"/>
        <v>210.92653052100002</v>
      </c>
      <c r="AE587">
        <f t="shared" si="495"/>
        <v>-2.4716667376459083</v>
      </c>
      <c r="AF587">
        <f t="shared" si="496"/>
        <v>0.22264467110549999</v>
      </c>
      <c r="AG587">
        <f t="shared" si="473"/>
        <v>7.2239189933453147</v>
      </c>
      <c r="AH587">
        <f t="shared" si="474"/>
        <v>-84.687049538076053</v>
      </c>
      <c r="AJ587">
        <f t="shared" si="497"/>
        <v>10500</v>
      </c>
      <c r="AK587">
        <f t="shared" si="498"/>
        <v>4872.4028550351013</v>
      </c>
      <c r="AL587">
        <v>1</v>
      </c>
      <c r="AM587">
        <f t="shared" si="499"/>
        <v>221.93689541419624</v>
      </c>
      <c r="AN587">
        <f t="shared" si="475"/>
        <v>22.166723171316491</v>
      </c>
      <c r="AO587">
        <f t="shared" si="476"/>
        <v>-47.210867112807541</v>
      </c>
      <c r="AQ587">
        <f t="shared" si="500"/>
        <v>7.1875736052459508E-4</v>
      </c>
      <c r="AR587">
        <f t="shared" si="501"/>
        <v>-2.6809649547567398</v>
      </c>
      <c r="AT587">
        <f t="shared" si="470"/>
        <v>-227.03781968838155</v>
      </c>
      <c r="AU587">
        <f t="shared" si="471"/>
        <v>-19.42794309735698</v>
      </c>
      <c r="AV587">
        <f t="shared" si="511"/>
        <v>-3.0562292095459931</v>
      </c>
      <c r="AW587">
        <f t="shared" si="512"/>
        <v>-99.083114767704799</v>
      </c>
      <c r="AX587">
        <f t="shared" si="513"/>
        <v>-192.46919872467868</v>
      </c>
      <c r="AY587">
        <f t="shared" ref="AY587:AY650" si="521">ATAN2(AW587,AX587)</f>
        <v>-2.0462135939707862</v>
      </c>
      <c r="BA587">
        <f t="shared" si="502"/>
        <v>1.0526226819783007</v>
      </c>
      <c r="BB587">
        <f t="shared" si="514"/>
        <v>0.44545447972592611</v>
      </c>
      <c r="BC587">
        <f t="shared" si="515"/>
        <v>-1.0100156155752069</v>
      </c>
      <c r="BD587">
        <f t="shared" si="503"/>
        <v>-237.86963208089287</v>
      </c>
      <c r="BF587">
        <f t="shared" si="504"/>
        <v>-60.173646898822852</v>
      </c>
      <c r="BG587">
        <f t="shared" si="505"/>
        <v>-188.13523518482523</v>
      </c>
      <c r="BH587">
        <f t="shared" si="516"/>
        <v>-8.135235184825234</v>
      </c>
      <c r="BI587">
        <f t="shared" si="517"/>
        <v>-8.135235184825234</v>
      </c>
      <c r="BJ587">
        <f t="shared" si="506"/>
        <v>0</v>
      </c>
      <c r="BK587">
        <f t="shared" si="518"/>
        <v>0</v>
      </c>
      <c r="BM587">
        <f t="shared" si="519"/>
        <v>-60.619101378548777</v>
      </c>
      <c r="BN587">
        <f t="shared" si="507"/>
        <v>-130.26560310393239</v>
      </c>
      <c r="BQ587" s="56">
        <f t="shared" si="520"/>
        <v>17.347415280011063</v>
      </c>
    </row>
    <row r="588" spans="1:69" x14ac:dyDescent="0.2">
      <c r="A588">
        <f t="shared" si="472"/>
        <v>1870000</v>
      </c>
      <c r="B588">
        <f t="shared" si="508"/>
        <v>1870</v>
      </c>
      <c r="C588">
        <f t="shared" si="477"/>
        <v>1.542893639254445</v>
      </c>
      <c r="D588">
        <f t="shared" si="478"/>
        <v>0.86566634917318097</v>
      </c>
      <c r="F588">
        <f t="shared" si="479"/>
        <v>4.0083498759840397E-5</v>
      </c>
      <c r="G588">
        <f t="shared" si="480"/>
        <v>3.674532037187624E-3</v>
      </c>
      <c r="H588">
        <f t="shared" si="481"/>
        <v>-3.1379181179628124</v>
      </c>
      <c r="J588">
        <f t="shared" si="482"/>
        <v>15</v>
      </c>
      <c r="M588">
        <f t="shared" si="483"/>
        <v>4.2661451295017324E-4</v>
      </c>
      <c r="N588">
        <f t="shared" si="484"/>
        <v>-1.5707963250000001</v>
      </c>
      <c r="O588">
        <f t="shared" si="485"/>
        <v>211.49438134021224</v>
      </c>
      <c r="P588">
        <f t="shared" si="486"/>
        <v>1.5660680511793876</v>
      </c>
      <c r="Q588">
        <f t="shared" si="487"/>
        <v>222.53414735326345</v>
      </c>
      <c r="R588">
        <f t="shared" si="488"/>
        <v>1.5663026193011504</v>
      </c>
      <c r="S588">
        <f t="shared" si="489"/>
        <v>0.9066634960147677</v>
      </c>
      <c r="T588">
        <f t="shared" si="490"/>
        <v>-0.43548987276759238</v>
      </c>
      <c r="U588">
        <f t="shared" si="491"/>
        <v>8.9477551893100013E-2</v>
      </c>
      <c r="V588">
        <f t="shared" si="492"/>
        <v>-1.4811989463346449</v>
      </c>
      <c r="X588">
        <f t="shared" si="509"/>
        <v>-56.414315682013154</v>
      </c>
      <c r="Y588">
        <f t="shared" si="493"/>
        <v>-150.53699709732882</v>
      </c>
      <c r="Z588">
        <f t="shared" si="510"/>
        <v>29.463002902671178</v>
      </c>
      <c r="AC588">
        <v>1</v>
      </c>
      <c r="AD588">
        <f t="shared" si="494"/>
        <v>211.49201719800004</v>
      </c>
      <c r="AE588">
        <f t="shared" si="495"/>
        <v>-2.4849374076932849</v>
      </c>
      <c r="AF588">
        <f t="shared" si="496"/>
        <v>0.223241573709</v>
      </c>
      <c r="AG588">
        <f t="shared" si="473"/>
        <v>7.1856489275941824</v>
      </c>
      <c r="AH588">
        <f t="shared" si="474"/>
        <v>-84.464051679320974</v>
      </c>
      <c r="AJ588">
        <f t="shared" si="497"/>
        <v>10500</v>
      </c>
      <c r="AK588">
        <f t="shared" si="498"/>
        <v>4885.465597273801</v>
      </c>
      <c r="AL588">
        <v>1</v>
      </c>
      <c r="AM588">
        <f t="shared" si="499"/>
        <v>222.53190049573561</v>
      </c>
      <c r="AN588">
        <f t="shared" si="475"/>
        <v>22.165587164079618</v>
      </c>
      <c r="AO588">
        <f t="shared" si="476"/>
        <v>-47.084639952718639</v>
      </c>
      <c r="AQ588">
        <f t="shared" si="500"/>
        <v>7.1491887708263909E-4</v>
      </c>
      <c r="AR588">
        <f t="shared" si="501"/>
        <v>-2.6737966002890703</v>
      </c>
      <c r="AT588">
        <f t="shared" si="470"/>
        <v>-225.83455707074631</v>
      </c>
      <c r="AU588">
        <f t="shared" si="471"/>
        <v>-19.273348618452559</v>
      </c>
      <c r="AV588">
        <f t="shared" si="511"/>
        <v>-3.0564561690722778</v>
      </c>
      <c r="AW588">
        <f t="shared" si="512"/>
        <v>-98.436510210371793</v>
      </c>
      <c r="AX588">
        <f t="shared" si="513"/>
        <v>-191.95388942884546</v>
      </c>
      <c r="AY588">
        <f t="shared" si="521"/>
        <v>-2.0446419635793864</v>
      </c>
      <c r="BA588">
        <f t="shared" si="502"/>
        <v>1.0506825321029876</v>
      </c>
      <c r="BB588">
        <f t="shared" si="514"/>
        <v>0.42943024095631066</v>
      </c>
      <c r="BC588">
        <f t="shared" si="515"/>
        <v>-1.0118142054928914</v>
      </c>
      <c r="BD588">
        <f t="shared" si="503"/>
        <v>-237.97268369236872</v>
      </c>
      <c r="BF588">
        <f t="shared" si="504"/>
        <v>-60.222712351880688</v>
      </c>
      <c r="BG588">
        <f t="shared" si="505"/>
        <v>-188.163120183915</v>
      </c>
      <c r="BH588">
        <f t="shared" si="516"/>
        <v>-8.1631201839149981</v>
      </c>
      <c r="BI588">
        <f t="shared" si="517"/>
        <v>-8.1631201839149981</v>
      </c>
      <c r="BJ588">
        <f t="shared" si="506"/>
        <v>0</v>
      </c>
      <c r="BK588">
        <f t="shared" si="518"/>
        <v>0</v>
      </c>
      <c r="BM588">
        <f t="shared" si="519"/>
        <v>-60.652142592836995</v>
      </c>
      <c r="BN588">
        <f t="shared" si="507"/>
        <v>-130.19043649154628</v>
      </c>
      <c r="BQ588" s="56">
        <f t="shared" si="520"/>
        <v>17.331391041241446</v>
      </c>
    </row>
    <row r="589" spans="1:69" x14ac:dyDescent="0.2">
      <c r="A589">
        <f t="shared" si="472"/>
        <v>1875000</v>
      </c>
      <c r="B589">
        <f t="shared" si="508"/>
        <v>1875</v>
      </c>
      <c r="C589">
        <f t="shared" si="477"/>
        <v>1.5452873893652752</v>
      </c>
      <c r="D589">
        <f t="shared" si="478"/>
        <v>0.8669840133797404</v>
      </c>
      <c r="F589">
        <f t="shared" si="479"/>
        <v>3.9869997889457962E-5</v>
      </c>
      <c r="G589">
        <f t="shared" si="480"/>
        <v>3.6647325748952455E-3</v>
      </c>
      <c r="H589">
        <f t="shared" si="481"/>
        <v>-3.1379279174251051</v>
      </c>
      <c r="J589">
        <f t="shared" si="482"/>
        <v>15</v>
      </c>
      <c r="M589">
        <f t="shared" si="483"/>
        <v>4.2547687424897285E-4</v>
      </c>
      <c r="N589">
        <f t="shared" si="484"/>
        <v>-1.5707963250000001</v>
      </c>
      <c r="O589">
        <f t="shared" si="485"/>
        <v>212.0598617129032</v>
      </c>
      <c r="P589">
        <f t="shared" si="486"/>
        <v>1.5660806597271886</v>
      </c>
      <c r="Q589">
        <f t="shared" si="487"/>
        <v>223.12914644324303</v>
      </c>
      <c r="R589">
        <f t="shared" si="488"/>
        <v>1.5663146023604577</v>
      </c>
      <c r="S589">
        <f t="shared" si="489"/>
        <v>0.90623180791772295</v>
      </c>
      <c r="T589">
        <f t="shared" si="490"/>
        <v>-0.43651206026751843</v>
      </c>
      <c r="U589">
        <f t="shared" si="491"/>
        <v>8.9240847855840869E-2</v>
      </c>
      <c r="V589">
        <f t="shared" si="492"/>
        <v>-1.481436601118862</v>
      </c>
      <c r="X589">
        <f t="shared" si="509"/>
        <v>-56.451190811729987</v>
      </c>
      <c r="Y589">
        <f t="shared" si="493"/>
        <v>-150.53283661773835</v>
      </c>
      <c r="Z589">
        <f t="shared" si="510"/>
        <v>29.467163382261646</v>
      </c>
      <c r="AC589">
        <v>1</v>
      </c>
      <c r="AD589">
        <f t="shared" si="494"/>
        <v>212.05750387500001</v>
      </c>
      <c r="AE589">
        <f t="shared" si="495"/>
        <v>-2.4982436083164248</v>
      </c>
      <c r="AF589">
        <f t="shared" si="496"/>
        <v>0.22383847631250001</v>
      </c>
      <c r="AG589">
        <f t="shared" si="473"/>
        <v>7.1476813629736968</v>
      </c>
      <c r="AH589">
        <f t="shared" si="474"/>
        <v>-84.242216038880542</v>
      </c>
      <c r="AJ589">
        <f t="shared" si="497"/>
        <v>10500</v>
      </c>
      <c r="AK589">
        <f t="shared" si="498"/>
        <v>4898.5283395125007</v>
      </c>
      <c r="AL589">
        <v>1</v>
      </c>
      <c r="AM589">
        <f t="shared" si="499"/>
        <v>223.12690557727501</v>
      </c>
      <c r="AN589">
        <f t="shared" si="475"/>
        <v>22.164460232534424</v>
      </c>
      <c r="AO589">
        <f t="shared" si="476"/>
        <v>-46.959085963475182</v>
      </c>
      <c r="AQ589">
        <f t="shared" si="500"/>
        <v>7.1111106054321351E-4</v>
      </c>
      <c r="AR589">
        <f t="shared" si="501"/>
        <v>-2.6666664770370505</v>
      </c>
      <c r="AT589">
        <f t="shared" si="470"/>
        <v>-224.64081066692123</v>
      </c>
      <c r="AU589">
        <f t="shared" si="471"/>
        <v>-19.120387850774371</v>
      </c>
      <c r="AV589">
        <f t="shared" si="511"/>
        <v>-3.0566819283211206</v>
      </c>
      <c r="AW589">
        <f t="shared" si="512"/>
        <v>-97.795073825469416</v>
      </c>
      <c r="AX589">
        <f t="shared" si="513"/>
        <v>-191.44133412692662</v>
      </c>
      <c r="AY589">
        <f t="shared" si="521"/>
        <v>-2.0430748960846223</v>
      </c>
      <c r="BA589">
        <f t="shared" si="502"/>
        <v>1.0487475300775639</v>
      </c>
      <c r="BB589">
        <f t="shared" si="514"/>
        <v>0.41341902047867907</v>
      </c>
      <c r="BC589">
        <f t="shared" si="515"/>
        <v>-1.0136070322364983</v>
      </c>
      <c r="BD589">
        <f t="shared" si="503"/>
        <v>-238.07540509829295</v>
      </c>
      <c r="BF589">
        <f t="shared" si="504"/>
        <v>-60.2716463356426</v>
      </c>
      <c r="BG589">
        <f t="shared" si="505"/>
        <v>-188.19090645973318</v>
      </c>
      <c r="BH589">
        <f t="shared" si="516"/>
        <v>-8.1909064597331849</v>
      </c>
      <c r="BI589">
        <f t="shared" si="517"/>
        <v>-8.1909064597331849</v>
      </c>
      <c r="BJ589">
        <f t="shared" si="506"/>
        <v>0</v>
      </c>
      <c r="BK589">
        <f t="shared" si="518"/>
        <v>0</v>
      </c>
      <c r="BM589">
        <f t="shared" si="519"/>
        <v>-60.685065356121271</v>
      </c>
      <c r="BN589">
        <f t="shared" si="507"/>
        <v>-130.11550136144024</v>
      </c>
      <c r="BQ589" s="56">
        <f t="shared" si="520"/>
        <v>17.315379820763816</v>
      </c>
    </row>
    <row r="590" spans="1:69" x14ac:dyDescent="0.2">
      <c r="A590">
        <f t="shared" si="472"/>
        <v>1880000</v>
      </c>
      <c r="B590">
        <f t="shared" si="508"/>
        <v>1880</v>
      </c>
      <c r="C590">
        <f t="shared" si="477"/>
        <v>1.5476838141621907</v>
      </c>
      <c r="D590">
        <f t="shared" si="478"/>
        <v>0.86829759933362494</v>
      </c>
      <c r="F590">
        <f t="shared" si="479"/>
        <v>3.96581982939184E-5</v>
      </c>
      <c r="G590">
        <f t="shared" si="480"/>
        <v>3.6549852430463781E-3</v>
      </c>
      <c r="H590">
        <f t="shared" si="481"/>
        <v>-3.1379376647569539</v>
      </c>
      <c r="J590">
        <f t="shared" si="482"/>
        <v>15</v>
      </c>
      <c r="M590">
        <f t="shared" si="483"/>
        <v>4.2434528681745961E-4</v>
      </c>
      <c r="N590">
        <f t="shared" si="484"/>
        <v>-1.5707963250000001</v>
      </c>
      <c r="O590">
        <f t="shared" si="485"/>
        <v>212.62534211912717</v>
      </c>
      <c r="P590">
        <f t="shared" si="486"/>
        <v>1.5660932012097333</v>
      </c>
      <c r="Q590">
        <f t="shared" si="487"/>
        <v>223.72414556509213</v>
      </c>
      <c r="R590">
        <f t="shared" si="488"/>
        <v>1.5663265216813649</v>
      </c>
      <c r="S590">
        <f t="shared" si="489"/>
        <v>0.9057995856138662</v>
      </c>
      <c r="T590">
        <f t="shared" si="490"/>
        <v>-0.43753327378015611</v>
      </c>
      <c r="U590">
        <f t="shared" si="491"/>
        <v>8.9005387881419956E-2</v>
      </c>
      <c r="V590">
        <f t="shared" si="492"/>
        <v>-1.4816730018227422</v>
      </c>
      <c r="X590">
        <f t="shared" si="509"/>
        <v>-56.487956781231944</v>
      </c>
      <c r="Y590">
        <f t="shared" si="493"/>
        <v>-150.52878665358577</v>
      </c>
      <c r="Z590">
        <f t="shared" si="510"/>
        <v>29.471213346414231</v>
      </c>
      <c r="AC590">
        <v>1</v>
      </c>
      <c r="AD590">
        <f t="shared" si="494"/>
        <v>212.62299055200003</v>
      </c>
      <c r="AE590">
        <f t="shared" si="495"/>
        <v>-2.5115853395153271</v>
      </c>
      <c r="AF590">
        <f t="shared" si="496"/>
        <v>0.22443537891599999</v>
      </c>
      <c r="AG590">
        <f t="shared" si="473"/>
        <v>7.1100131282624197</v>
      </c>
      <c r="AH590">
        <f t="shared" si="474"/>
        <v>-84.021533627116838</v>
      </c>
      <c r="AJ590">
        <f t="shared" si="497"/>
        <v>10500</v>
      </c>
      <c r="AK590">
        <f t="shared" si="498"/>
        <v>4911.5910817512004</v>
      </c>
      <c r="AL590">
        <v>1</v>
      </c>
      <c r="AM590">
        <f t="shared" si="499"/>
        <v>223.72191065881441</v>
      </c>
      <c r="AN590">
        <f t="shared" si="475"/>
        <v>22.163342280262739</v>
      </c>
      <c r="AO590">
        <f t="shared" si="476"/>
        <v>-46.83419977446416</v>
      </c>
      <c r="AQ590">
        <f t="shared" si="500"/>
        <v>7.073335850969341E-4</v>
      </c>
      <c r="AR590">
        <f t="shared" si="501"/>
        <v>-2.6595742799644722</v>
      </c>
      <c r="AT590">
        <f t="shared" si="470"/>
        <v>-223.45648064677385</v>
      </c>
      <c r="AU590">
        <f t="shared" si="471"/>
        <v>-18.969039298742281</v>
      </c>
      <c r="AV590">
        <f t="shared" si="511"/>
        <v>-3.0569064967622643</v>
      </c>
      <c r="AW590">
        <f t="shared" si="512"/>
        <v>-97.158750676339977</v>
      </c>
      <c r="AX590">
        <f t="shared" si="513"/>
        <v>-190.93151078261781</v>
      </c>
      <c r="AY590">
        <f t="shared" si="521"/>
        <v>-2.0415123706246101</v>
      </c>
      <c r="BA590">
        <f t="shared" si="502"/>
        <v>1.0468176676466958</v>
      </c>
      <c r="BB590">
        <f t="shared" si="514"/>
        <v>0.39742087654291447</v>
      </c>
      <c r="BC590">
        <f t="shared" si="515"/>
        <v>-1.0153941261376542</v>
      </c>
      <c r="BD590">
        <f t="shared" si="503"/>
        <v>-238.17779803653977</v>
      </c>
      <c r="BF590">
        <f t="shared" si="504"/>
        <v>-60.320449529036502</v>
      </c>
      <c r="BG590">
        <f t="shared" si="505"/>
        <v>-188.2185949476858</v>
      </c>
      <c r="BH590">
        <f t="shared" si="516"/>
        <v>-8.2185949476858013</v>
      </c>
      <c r="BI590">
        <f t="shared" si="517"/>
        <v>-8.2185949476858013</v>
      </c>
      <c r="BJ590">
        <f t="shared" si="506"/>
        <v>0</v>
      </c>
      <c r="BK590">
        <f t="shared" si="518"/>
        <v>0</v>
      </c>
      <c r="BM590">
        <f t="shared" si="519"/>
        <v>-60.717870405579419</v>
      </c>
      <c r="BN590">
        <f t="shared" si="507"/>
        <v>-130.04079691114606</v>
      </c>
      <c r="BQ590" s="56">
        <f t="shared" si="520"/>
        <v>17.299381676828052</v>
      </c>
    </row>
    <row r="591" spans="1:69" x14ac:dyDescent="0.2">
      <c r="A591">
        <f t="shared" si="472"/>
        <v>1885000</v>
      </c>
      <c r="B591">
        <f t="shared" si="508"/>
        <v>1885</v>
      </c>
      <c r="C591">
        <f t="shared" si="477"/>
        <v>1.5500829012400152</v>
      </c>
      <c r="D591">
        <f t="shared" si="478"/>
        <v>0.86960712142702701</v>
      </c>
      <c r="F591">
        <f t="shared" si="479"/>
        <v>3.9448081945509439E-5</v>
      </c>
      <c r="G591">
        <f t="shared" si="480"/>
        <v>3.6452896267502562E-3</v>
      </c>
      <c r="H591">
        <f t="shared" si="481"/>
        <v>-3.1379473603732499</v>
      </c>
      <c r="J591">
        <f t="shared" si="482"/>
        <v>15</v>
      </c>
      <c r="M591">
        <f t="shared" si="483"/>
        <v>4.2321970250229393E-4</v>
      </c>
      <c r="N591">
        <f t="shared" si="484"/>
        <v>-1.5707963250000001</v>
      </c>
      <c r="O591">
        <f t="shared" si="485"/>
        <v>213.19082255861727</v>
      </c>
      <c r="P591">
        <f t="shared" si="486"/>
        <v>1.566105676160682</v>
      </c>
      <c r="Q591">
        <f t="shared" si="487"/>
        <v>224.31914471855717</v>
      </c>
      <c r="R591">
        <f t="shared" si="488"/>
        <v>1.5663383777710602</v>
      </c>
      <c r="S591">
        <f t="shared" si="489"/>
        <v>0.90536683256978212</v>
      </c>
      <c r="T591">
        <f t="shared" si="490"/>
        <v>-0.43855351256997738</v>
      </c>
      <c r="U591">
        <f t="shared" si="491"/>
        <v>8.8771162227098188E-2</v>
      </c>
      <c r="V591">
        <f t="shared" si="492"/>
        <v>-1.4819081583204328</v>
      </c>
      <c r="X591">
        <f t="shared" si="509"/>
        <v>-56.524614282170575</v>
      </c>
      <c r="Y591">
        <f t="shared" si="493"/>
        <v>-150.52484686799872</v>
      </c>
      <c r="Z591">
        <f t="shared" si="510"/>
        <v>29.475153132001282</v>
      </c>
      <c r="AC591">
        <v>1</v>
      </c>
      <c r="AD591">
        <f t="shared" si="494"/>
        <v>213.188477229</v>
      </c>
      <c r="AE591">
        <f t="shared" si="495"/>
        <v>-2.5249626012899924</v>
      </c>
      <c r="AF591">
        <f t="shared" si="496"/>
        <v>0.2250322815195</v>
      </c>
      <c r="AG591">
        <f t="shared" si="473"/>
        <v>7.0726410935748696</v>
      </c>
      <c r="AH591">
        <f t="shared" si="474"/>
        <v>-83.801995546088619</v>
      </c>
      <c r="AJ591">
        <f t="shared" si="497"/>
        <v>10500</v>
      </c>
      <c r="AK591">
        <f t="shared" si="498"/>
        <v>4924.6538239899</v>
      </c>
      <c r="AL591">
        <v>1</v>
      </c>
      <c r="AM591">
        <f t="shared" si="499"/>
        <v>224.31691574035383</v>
      </c>
      <c r="AN591">
        <f t="shared" si="475"/>
        <v>22.162233212123372</v>
      </c>
      <c r="AO591">
        <f t="shared" si="476"/>
        <v>-46.709976072049528</v>
      </c>
      <c r="AQ591">
        <f t="shared" si="500"/>
        <v>7.0358612924975692E-4</v>
      </c>
      <c r="AR591">
        <f t="shared" si="501"/>
        <v>-2.6525197072715838</v>
      </c>
      <c r="AT591">
        <f t="shared" si="470"/>
        <v>-222.28146848251495</v>
      </c>
      <c r="AU591">
        <f t="shared" si="471"/>
        <v>-18.819281804835864</v>
      </c>
      <c r="AV591">
        <f t="shared" si="511"/>
        <v>-3.057129883766375</v>
      </c>
      <c r="AW591">
        <f t="shared" si="512"/>
        <v>-96.527486554419184</v>
      </c>
      <c r="AX591">
        <f t="shared" si="513"/>
        <v>-190.42439759429647</v>
      </c>
      <c r="AY591">
        <f t="shared" si="521"/>
        <v>-2.0399543664337938</v>
      </c>
      <c r="BA591">
        <f t="shared" si="502"/>
        <v>1.0448929364195441</v>
      </c>
      <c r="BB591">
        <f t="shared" si="514"/>
        <v>0.3814358662762562</v>
      </c>
      <c r="BC591">
        <f t="shared" si="515"/>
        <v>-1.0171755173325812</v>
      </c>
      <c r="BD591">
        <f t="shared" si="503"/>
        <v>-238.27986423378746</v>
      </c>
      <c r="BF591">
        <f t="shared" si="504"/>
        <v>-60.369122605997028</v>
      </c>
      <c r="BG591">
        <f t="shared" si="505"/>
        <v>-188.24618657361091</v>
      </c>
      <c r="BH591">
        <f t="shared" si="516"/>
        <v>-8.2461865736109132</v>
      </c>
      <c r="BI591">
        <f t="shared" si="517"/>
        <v>-8.2461865736109132</v>
      </c>
      <c r="BJ591">
        <f t="shared" si="506"/>
        <v>0</v>
      </c>
      <c r="BK591">
        <f t="shared" si="518"/>
        <v>0</v>
      </c>
      <c r="BM591">
        <f t="shared" si="519"/>
        <v>-60.750558472273283</v>
      </c>
      <c r="BN591">
        <f t="shared" si="507"/>
        <v>-129.96632233982345</v>
      </c>
      <c r="BQ591" s="56">
        <f t="shared" si="520"/>
        <v>17.283396666561394</v>
      </c>
    </row>
    <row r="592" spans="1:69" x14ac:dyDescent="0.2">
      <c r="A592">
        <f>A591+5000</f>
        <v>1890000</v>
      </c>
      <c r="B592">
        <f t="shared" si="508"/>
        <v>1890</v>
      </c>
      <c r="C592">
        <f t="shared" si="477"/>
        <v>1.5524846382565127</v>
      </c>
      <c r="D592">
        <f t="shared" si="478"/>
        <v>0.87091259401897825</v>
      </c>
      <c r="F592">
        <f t="shared" si="479"/>
        <v>3.9239631054680748E-5</v>
      </c>
      <c r="G592">
        <f t="shared" si="480"/>
        <v>3.6356453155072807E-3</v>
      </c>
      <c r="H592">
        <f t="shared" si="481"/>
        <v>-3.1379570046844929</v>
      </c>
      <c r="J592">
        <f t="shared" si="482"/>
        <v>15</v>
      </c>
      <c r="M592">
        <f t="shared" si="483"/>
        <v>4.2210007365969527E-4</v>
      </c>
      <c r="N592">
        <f t="shared" si="484"/>
        <v>-1.5707963250000001</v>
      </c>
      <c r="O592">
        <f t="shared" si="485"/>
        <v>213.75630303110958</v>
      </c>
      <c r="P592">
        <f t="shared" si="486"/>
        <v>1.5661180851080476</v>
      </c>
      <c r="Q592">
        <f t="shared" si="487"/>
        <v>224.91414390338718</v>
      </c>
      <c r="R592">
        <f t="shared" si="488"/>
        <v>1.5663501711313654</v>
      </c>
      <c r="S592">
        <f t="shared" si="489"/>
        <v>0.90493355224654404</v>
      </c>
      <c r="T592">
        <f t="shared" si="490"/>
        <v>-0.43957277591097454</v>
      </c>
      <c r="U592">
        <f t="shared" si="491"/>
        <v>8.8538161251190586E-2</v>
      </c>
      <c r="V592">
        <f t="shared" si="492"/>
        <v>-1.4821420803829659</v>
      </c>
      <c r="X592">
        <f t="shared" si="509"/>
        <v>-56.561164000360478</v>
      </c>
      <c r="Y592">
        <f t="shared" si="493"/>
        <v>-150.52101692102175</v>
      </c>
      <c r="Z592">
        <f t="shared" si="510"/>
        <v>29.478983078978246</v>
      </c>
      <c r="AC592">
        <v>1</v>
      </c>
      <c r="AD592">
        <f t="shared" si="494"/>
        <v>213.75396390600002</v>
      </c>
      <c r="AE592">
        <f t="shared" si="495"/>
        <v>-2.5383753936404201</v>
      </c>
      <c r="AF592">
        <f t="shared" si="496"/>
        <v>0.22562918412300001</v>
      </c>
      <c r="AG592">
        <f t="shared" si="473"/>
        <v>7.0355621697184212</v>
      </c>
      <c r="AH592">
        <f t="shared" si="474"/>
        <v>-83.583592988395793</v>
      </c>
      <c r="AJ592">
        <f t="shared" si="497"/>
        <v>10500</v>
      </c>
      <c r="AK592">
        <f t="shared" si="498"/>
        <v>4937.7165662286006</v>
      </c>
      <c r="AL592">
        <v>1</v>
      </c>
      <c r="AM592">
        <f t="shared" si="499"/>
        <v>224.91192082189323</v>
      </c>
      <c r="AN592">
        <f t="shared" si="475"/>
        <v>22.161132934231919</v>
      </c>
      <c r="AO592">
        <f t="shared" si="476"/>
        <v>-46.58640959881857</v>
      </c>
      <c r="AQ592">
        <f t="shared" si="500"/>
        <v>6.9986837575457185E-4</v>
      </c>
      <c r="AR592">
        <f t="shared" si="501"/>
        <v>-2.6455024603522816</v>
      </c>
      <c r="AT592">
        <f t="shared" si="470"/>
        <v>-221.11567692841655</v>
      </c>
      <c r="AU592">
        <f t="shared" si="471"/>
        <v>-18.671094543416039</v>
      </c>
      <c r="AV592">
        <f t="shared" si="511"/>
        <v>-3.0573520986063327</v>
      </c>
      <c r="AW592">
        <f t="shared" si="512"/>
        <v>-95.901227967685855</v>
      </c>
      <c r="AX592">
        <f t="shared" si="513"/>
        <v>-189.91997299190356</v>
      </c>
      <c r="AY592">
        <f t="shared" si="521"/>
        <v>-2.0384008628427628</v>
      </c>
      <c r="BA592">
        <f t="shared" si="502"/>
        <v>1.042973327872875</v>
      </c>
      <c r="BB592">
        <f t="shared" si="514"/>
        <v>0.36546404569756169</v>
      </c>
      <c r="BC592">
        <f t="shared" si="515"/>
        <v>-1.0189512357635699</v>
      </c>
      <c r="BD592">
        <f t="shared" si="503"/>
        <v>-238.38160540560295</v>
      </c>
      <c r="BF592">
        <f t="shared" si="504"/>
        <v>-60.417666235513828</v>
      </c>
      <c r="BG592">
        <f t="shared" si="505"/>
        <v>-188.27368225388329</v>
      </c>
      <c r="BH592">
        <f t="shared" si="516"/>
        <v>-8.2736822538832939</v>
      </c>
      <c r="BI592">
        <f t="shared" si="517"/>
        <v>-8.2736822538832939</v>
      </c>
      <c r="BJ592">
        <f t="shared" si="506"/>
        <v>0</v>
      </c>
      <c r="BK592">
        <f t="shared" si="518"/>
        <v>0</v>
      </c>
      <c r="BM592">
        <f t="shared" si="519"/>
        <v>-60.783130281211399</v>
      </c>
      <c r="BN592">
        <f t="shared" si="507"/>
        <v>-129.89207684828034</v>
      </c>
      <c r="BQ592" s="56">
        <f t="shared" si="520"/>
        <v>17.267424845982696</v>
      </c>
    </row>
    <row r="593" spans="1:69" x14ac:dyDescent="0.2">
      <c r="A593">
        <f t="shared" ref="A593:A598" si="522">A592+5000</f>
        <v>1895000</v>
      </c>
      <c r="B593">
        <f t="shared" si="508"/>
        <v>1895</v>
      </c>
      <c r="C593">
        <f t="shared" si="477"/>
        <v>1.5548890129321147</v>
      </c>
      <c r="D593">
        <f t="shared" si="478"/>
        <v>0.87221403143505294</v>
      </c>
      <c r="F593">
        <f t="shared" si="479"/>
        <v>3.9032828066278261E-5</v>
      </c>
      <c r="G593">
        <f t="shared" si="480"/>
        <v>3.6260519031510721E-3</v>
      </c>
      <c r="H593">
        <f t="shared" si="481"/>
        <v>-3.137966598096849</v>
      </c>
      <c r="J593">
        <f t="shared" si="482"/>
        <v>15</v>
      </c>
      <c r="M593">
        <f t="shared" si="483"/>
        <v>4.2098635314871978E-4</v>
      </c>
      <c r="N593">
        <f t="shared" si="484"/>
        <v>-1.5707963250000001</v>
      </c>
      <c r="O593">
        <f t="shared" si="485"/>
        <v>214.32178353634279</v>
      </c>
      <c r="P593">
        <f t="shared" si="486"/>
        <v>1.5661304285742708</v>
      </c>
      <c r="Q593">
        <f t="shared" si="487"/>
        <v>225.50914311933394</v>
      </c>
      <c r="R593">
        <f t="shared" si="488"/>
        <v>1.5663619022588067</v>
      </c>
      <c r="S593">
        <f t="shared" si="489"/>
        <v>0.90449974809966804</v>
      </c>
      <c r="T593">
        <f t="shared" si="490"/>
        <v>-0.44059106308663426</v>
      </c>
      <c r="U593">
        <f t="shared" si="491"/>
        <v>8.8306375411765017E-2</v>
      </c>
      <c r="V593">
        <f t="shared" si="492"/>
        <v>-1.4823747776795986</v>
      </c>
      <c r="X593">
        <f t="shared" si="509"/>
        <v>-56.597606615838252</v>
      </c>
      <c r="Y593">
        <f t="shared" si="493"/>
        <v>-150.51729646970347</v>
      </c>
      <c r="Z593">
        <f t="shared" si="510"/>
        <v>29.482703530296533</v>
      </c>
      <c r="AC593">
        <v>1</v>
      </c>
      <c r="AD593">
        <f t="shared" si="494"/>
        <v>214.31945058300002</v>
      </c>
      <c r="AE593">
        <f t="shared" si="495"/>
        <v>-2.5518237165666102</v>
      </c>
      <c r="AF593">
        <f t="shared" si="496"/>
        <v>0.22622608672649999</v>
      </c>
      <c r="AG593">
        <f t="shared" si="473"/>
        <v>6.9987733075617662</v>
      </c>
      <c r="AH593">
        <f t="shared" si="474"/>
        <v>-83.3663172360407</v>
      </c>
      <c r="AJ593">
        <f t="shared" si="497"/>
        <v>10500</v>
      </c>
      <c r="AK593">
        <f t="shared" si="498"/>
        <v>4950.7793084673003</v>
      </c>
      <c r="AL593">
        <v>1</v>
      </c>
      <c r="AM593">
        <f t="shared" si="499"/>
        <v>225.50692590343263</v>
      </c>
      <c r="AN593">
        <f t="shared" si="475"/>
        <v>22.160041353940844</v>
      </c>
      <c r="AO593">
        <f t="shared" si="476"/>
        <v>-46.463495152840309</v>
      </c>
      <c r="AQ593">
        <f t="shared" si="500"/>
        <v>6.9618001154405696E-4</v>
      </c>
      <c r="AR593">
        <f t="shared" si="501"/>
        <v>-2.638522243751976</v>
      </c>
      <c r="AT593">
        <f t="shared" si="470"/>
        <v>-219.95901000089509</v>
      </c>
      <c r="AU593">
        <f t="shared" si="471"/>
        <v>-18.524457014675079</v>
      </c>
      <c r="AV593">
        <f t="shared" si="511"/>
        <v>-3.0575731504585</v>
      </c>
      <c r="AW593">
        <f t="shared" si="512"/>
        <v>-95.279922129325328</v>
      </c>
      <c r="AX593">
        <f t="shared" si="513"/>
        <v>-189.41821563387353</v>
      </c>
      <c r="AY593">
        <f t="shared" si="521"/>
        <v>-2.0368518392780635</v>
      </c>
      <c r="BA593">
        <f t="shared" si="502"/>
        <v>1.041058833354114</v>
      </c>
      <c r="BB593">
        <f t="shared" si="514"/>
        <v>0.34950546973134067</v>
      </c>
      <c r="BC593">
        <f t="shared" si="515"/>
        <v>-1.0207213111804365</v>
      </c>
      <c r="BD593">
        <f t="shared" si="503"/>
        <v>-238.48302325652517</v>
      </c>
      <c r="BF593">
        <f t="shared" si="504"/>
        <v>-60.466081081679384</v>
      </c>
      <c r="BG593">
        <f t="shared" si="505"/>
        <v>-188.30108289551856</v>
      </c>
      <c r="BH593">
        <f t="shared" si="516"/>
        <v>-8.3010828955185616</v>
      </c>
      <c r="BI593">
        <f t="shared" si="517"/>
        <v>-8.3010828955185616</v>
      </c>
      <c r="BJ593">
        <f t="shared" si="506"/>
        <v>0</v>
      </c>
      <c r="BK593">
        <f t="shared" si="518"/>
        <v>0</v>
      </c>
      <c r="BM593">
        <f t="shared" si="519"/>
        <v>-60.815586551410725</v>
      </c>
      <c r="BN593">
        <f t="shared" si="507"/>
        <v>-129.81805963899339</v>
      </c>
      <c r="BQ593" s="56">
        <f t="shared" si="520"/>
        <v>17.251466270016479</v>
      </c>
    </row>
    <row r="594" spans="1:69" x14ac:dyDescent="0.2">
      <c r="A594">
        <f t="shared" si="522"/>
        <v>1900000</v>
      </c>
      <c r="B594">
        <f t="shared" si="508"/>
        <v>1900</v>
      </c>
      <c r="C594">
        <f t="shared" si="477"/>
        <v>1.5572960130496427</v>
      </c>
      <c r="D594">
        <f t="shared" si="478"/>
        <v>0.87351144796707936</v>
      </c>
      <c r="F594">
        <f t="shared" si="479"/>
        <v>3.8827655655847743E-5</v>
      </c>
      <c r="G594">
        <f t="shared" si="480"/>
        <v>3.6165089877914446E-3</v>
      </c>
      <c r="H594">
        <f t="shared" si="481"/>
        <v>-3.1379761410122087</v>
      </c>
      <c r="J594">
        <f t="shared" si="482"/>
        <v>15</v>
      </c>
      <c r="M594">
        <f t="shared" si="483"/>
        <v>4.198784943246442E-4</v>
      </c>
      <c r="N594">
        <f t="shared" si="484"/>
        <v>-1.5707963250000001</v>
      </c>
      <c r="O594">
        <f t="shared" si="485"/>
        <v>214.88726407405846</v>
      </c>
      <c r="P594">
        <f t="shared" si="486"/>
        <v>1.5661427070762928</v>
      </c>
      <c r="Q594">
        <f t="shared" si="487"/>
        <v>226.10414236615179</v>
      </c>
      <c r="R594">
        <f t="shared" si="488"/>
        <v>1.5663735716446825</v>
      </c>
      <c r="S594">
        <f t="shared" si="489"/>
        <v>0.9040654235790655</v>
      </c>
      <c r="T594">
        <f t="shared" si="490"/>
        <v>-0.44160837338991288</v>
      </c>
      <c r="U594">
        <f t="shared" si="491"/>
        <v>8.807579526536069E-2</v>
      </c>
      <c r="V594">
        <f t="shared" si="492"/>
        <v>-1.4826062597791301</v>
      </c>
      <c r="X594">
        <f t="shared" si="509"/>
        <v>-56.633942802920842</v>
      </c>
      <c r="Y594">
        <f t="shared" si="493"/>
        <v>-150.51368516818223</v>
      </c>
      <c r="Z594">
        <f t="shared" si="510"/>
        <v>29.486314831817765</v>
      </c>
      <c r="AC594">
        <v>1</v>
      </c>
      <c r="AD594">
        <f t="shared" si="494"/>
        <v>214.88493726000004</v>
      </c>
      <c r="AE594">
        <f t="shared" si="495"/>
        <v>-2.5653075700685632</v>
      </c>
      <c r="AF594">
        <f t="shared" si="496"/>
        <v>0.22682298932999997</v>
      </c>
      <c r="AG594">
        <f t="shared" si="473"/>
        <v>6.9622714974147843</v>
      </c>
      <c r="AH594">
        <f t="shared" si="474"/>
        <v>-83.150159659306794</v>
      </c>
      <c r="AJ594">
        <f t="shared" si="497"/>
        <v>10500</v>
      </c>
      <c r="AK594">
        <f t="shared" si="498"/>
        <v>4963.8420507060009</v>
      </c>
      <c r="AL594">
        <v>1</v>
      </c>
      <c r="AM594">
        <f t="shared" si="499"/>
        <v>226.10193098497206</v>
      </c>
      <c r="AN594">
        <f t="shared" si="475"/>
        <v>22.158958379820028</v>
      </c>
      <c r="AO594">
        <f t="shared" si="476"/>
        <v>-46.341227586935524</v>
      </c>
      <c r="AQ594">
        <f t="shared" si="500"/>
        <v>6.9252072766476955E-4</v>
      </c>
      <c r="AR594">
        <f t="shared" si="501"/>
        <v>-2.6315787651261244</v>
      </c>
      <c r="AT594">
        <f t="shared" si="470"/>
        <v>-218.81137295895508</v>
      </c>
      <c r="AU594">
        <f t="shared" si="471"/>
        <v>-18.379349038712316</v>
      </c>
      <c r="AV594">
        <f t="shared" si="511"/>
        <v>-3.0577930484039682</v>
      </c>
      <c r="AW594">
        <f t="shared" si="512"/>
        <v>-94.66351694660105</v>
      </c>
      <c r="AX594">
        <f t="shared" si="513"/>
        <v>-188.91910440411453</v>
      </c>
      <c r="AY594">
        <f t="shared" si="521"/>
        <v>-2.0353072752619976</v>
      </c>
      <c r="BA594">
        <f t="shared" si="502"/>
        <v>1.0391494440843532</v>
      </c>
      <c r="BB594">
        <f t="shared" si="514"/>
        <v>0.33356019222164868</v>
      </c>
      <c r="BC594">
        <f t="shared" si="515"/>
        <v>-1.0224857731419705</v>
      </c>
      <c r="BD594">
        <f t="shared" si="503"/>
        <v>-238.58411948014796</v>
      </c>
      <c r="BF594">
        <f t="shared" si="504"/>
        <v>-60.514367803736135</v>
      </c>
      <c r="BG594">
        <f t="shared" si="505"/>
        <v>-188.32838939627575</v>
      </c>
      <c r="BH594">
        <f t="shared" si="516"/>
        <v>-8.3283893962757531</v>
      </c>
      <c r="BI594">
        <f t="shared" si="517"/>
        <v>-8.3283893962757531</v>
      </c>
      <c r="BJ594">
        <f t="shared" si="506"/>
        <v>0</v>
      </c>
      <c r="BK594">
        <f t="shared" si="518"/>
        <v>0</v>
      </c>
      <c r="BM594">
        <f t="shared" si="519"/>
        <v>-60.847927995957782</v>
      </c>
      <c r="BN594">
        <f t="shared" si="507"/>
        <v>-129.74426991612782</v>
      </c>
      <c r="BQ594" s="56">
        <f t="shared" si="520"/>
        <v>17.235520992506785</v>
      </c>
    </row>
    <row r="595" spans="1:69" x14ac:dyDescent="0.2">
      <c r="A595">
        <f t="shared" si="522"/>
        <v>1905000</v>
      </c>
      <c r="B595">
        <f t="shared" si="508"/>
        <v>1905</v>
      </c>
      <c r="C595">
        <f t="shared" si="477"/>
        <v>1.5597056264540361</v>
      </c>
      <c r="D595">
        <f t="shared" si="478"/>
        <v>0.87480485787285789</v>
      </c>
      <c r="F595">
        <f t="shared" si="479"/>
        <v>3.8624096726006221E-5</v>
      </c>
      <c r="G595">
        <f t="shared" si="480"/>
        <v>3.6070161717582732E-3</v>
      </c>
      <c r="H595">
        <f t="shared" si="481"/>
        <v>-3.1379856338282419</v>
      </c>
      <c r="J595">
        <f t="shared" si="482"/>
        <v>15</v>
      </c>
      <c r="M595">
        <f t="shared" si="483"/>
        <v>4.1877645103245356E-4</v>
      </c>
      <c r="N595">
        <f t="shared" si="484"/>
        <v>-1.5707963250000001</v>
      </c>
      <c r="O595">
        <f t="shared" si="485"/>
        <v>215.4527446440008</v>
      </c>
      <c r="P595">
        <f t="shared" si="486"/>
        <v>1.566154921125628</v>
      </c>
      <c r="Q595">
        <f t="shared" si="487"/>
        <v>226.69914164359767</v>
      </c>
      <c r="R595">
        <f t="shared" si="488"/>
        <v>1.5663851797751349</v>
      </c>
      <c r="S595">
        <f t="shared" si="489"/>
        <v>0.90363058212899883</v>
      </c>
      <c r="T595">
        <f t="shared" si="490"/>
        <v>-0.44262470612321009</v>
      </c>
      <c r="U595">
        <f t="shared" si="491"/>
        <v>8.7846411465726443E-2</v>
      </c>
      <c r="V595">
        <f t="shared" si="492"/>
        <v>-1.4828365361512004</v>
      </c>
      <c r="X595">
        <f t="shared" si="509"/>
        <v>-56.670173230263003</v>
      </c>
      <c r="Y595">
        <f t="shared" si="493"/>
        <v>-150.51018266777064</v>
      </c>
      <c r="Z595">
        <f t="shared" si="510"/>
        <v>29.489817332229364</v>
      </c>
      <c r="AC595">
        <v>1</v>
      </c>
      <c r="AD595">
        <f t="shared" si="494"/>
        <v>215.45042393700001</v>
      </c>
      <c r="AE595">
        <f t="shared" si="495"/>
        <v>-2.5788269541462792</v>
      </c>
      <c r="AF595">
        <f t="shared" si="496"/>
        <v>0.22741989193350001</v>
      </c>
      <c r="AG595">
        <f t="shared" si="473"/>
        <v>6.9260537684195311</v>
      </c>
      <c r="AH595">
        <f t="shared" si="474"/>
        <v>-82.935111715653619</v>
      </c>
      <c r="AJ595">
        <f t="shared" si="497"/>
        <v>10500</v>
      </c>
      <c r="AK595">
        <f t="shared" si="498"/>
        <v>4976.9047929447006</v>
      </c>
      <c r="AL595">
        <v>1</v>
      </c>
      <c r="AM595">
        <f t="shared" si="499"/>
        <v>226.6969360665114</v>
      </c>
      <c r="AN595">
        <f t="shared" si="475"/>
        <v>22.157883921637595</v>
      </c>
      <c r="AO595">
        <f t="shared" si="476"/>
        <v>-46.219601807958412</v>
      </c>
      <c r="AQ595">
        <f t="shared" si="500"/>
        <v>6.8889021921244556E-4</v>
      </c>
      <c r="AR595">
        <f t="shared" si="501"/>
        <v>-2.6246717351994175</v>
      </c>
      <c r="AT595">
        <f t="shared" si="470"/>
        <v>-217.67267228498332</v>
      </c>
      <c r="AU595">
        <f t="shared" si="471"/>
        <v>-18.235750749732361</v>
      </c>
      <c r="AV595">
        <f t="shared" si="511"/>
        <v>-3.0580118014297915</v>
      </c>
      <c r="AW595">
        <f t="shared" si="512"/>
        <v>-94.051961009931347</v>
      </c>
      <c r="AX595">
        <f t="shared" si="513"/>
        <v>-188.42261840903544</v>
      </c>
      <c r="AY595">
        <f t="shared" si="521"/>
        <v>-2.0337671504124293</v>
      </c>
      <c r="BA595">
        <f t="shared" si="502"/>
        <v>1.0372451511613063</v>
      </c>
      <c r="BB595">
        <f t="shared" si="514"/>
        <v>0.31762826594577792</v>
      </c>
      <c r="BC595">
        <f t="shared" si="515"/>
        <v>-1.0242446510173622</v>
      </c>
      <c r="BD595">
        <f t="shared" si="503"/>
        <v>-238.68489575920199</v>
      </c>
      <c r="BF595">
        <f t="shared" si="504"/>
        <v>-60.562527056123145</v>
      </c>
      <c r="BG595">
        <f t="shared" si="505"/>
        <v>-188.35560264475862</v>
      </c>
      <c r="BH595">
        <f t="shared" si="516"/>
        <v>-8.3556026447586191</v>
      </c>
      <c r="BI595">
        <f t="shared" si="517"/>
        <v>-8.3556026447586191</v>
      </c>
      <c r="BJ595">
        <f t="shared" si="506"/>
        <v>0</v>
      </c>
      <c r="BK595">
        <f t="shared" si="518"/>
        <v>0</v>
      </c>
      <c r="BM595">
        <f t="shared" si="519"/>
        <v>-60.880155322068923</v>
      </c>
      <c r="BN595">
        <f t="shared" si="507"/>
        <v>-129.67070688555663</v>
      </c>
      <c r="BQ595" s="56">
        <f t="shared" si="520"/>
        <v>17.219589066230917</v>
      </c>
    </row>
    <row r="596" spans="1:69" x14ac:dyDescent="0.2">
      <c r="A596">
        <f t="shared" si="522"/>
        <v>1910000</v>
      </c>
      <c r="B596">
        <f t="shared" si="508"/>
        <v>1910</v>
      </c>
      <c r="C596">
        <f t="shared" si="477"/>
        <v>1.562117841052076</v>
      </c>
      <c r="D596">
        <f t="shared" si="478"/>
        <v>0.8760942753758868</v>
      </c>
      <c r="F596">
        <f t="shared" si="479"/>
        <v>3.8422134402879897E-5</v>
      </c>
      <c r="G596">
        <f t="shared" si="480"/>
        <v>3.5975730615462509E-3</v>
      </c>
      <c r="H596">
        <f t="shared" si="481"/>
        <v>-3.1379950769384539</v>
      </c>
      <c r="J596">
        <f t="shared" si="482"/>
        <v>15</v>
      </c>
      <c r="M596">
        <f t="shared" si="483"/>
        <v>4.176801776004314E-4</v>
      </c>
      <c r="N596">
        <f t="shared" si="484"/>
        <v>-1.5707963250000001</v>
      </c>
      <c r="O596">
        <f t="shared" si="485"/>
        <v>216.01822524591677</v>
      </c>
      <c r="P596">
        <f t="shared" si="486"/>
        <v>1.5661670712284352</v>
      </c>
      <c r="Q596">
        <f t="shared" si="487"/>
        <v>227.29414095143102</v>
      </c>
      <c r="R596">
        <f t="shared" si="488"/>
        <v>1.5663967271312145</v>
      </c>
      <c r="S596">
        <f t="shared" si="489"/>
        <v>0.90319522718803547</v>
      </c>
      <c r="T596">
        <f t="shared" si="490"/>
        <v>-0.44364006059834421</v>
      </c>
      <c r="U596">
        <f t="shared" si="491"/>
        <v>8.7618214762578098E-2</v>
      </c>
      <c r="V596">
        <f t="shared" si="492"/>
        <v>-1.4830656161675677</v>
      </c>
      <c r="X596">
        <f t="shared" si="509"/>
        <v>-56.706298560914242</v>
      </c>
      <c r="Y596">
        <f t="shared" si="493"/>
        <v>-150.50678861703767</v>
      </c>
      <c r="Z596">
        <f t="shared" si="510"/>
        <v>29.493211382962329</v>
      </c>
      <c r="AC596">
        <v>1</v>
      </c>
      <c r="AD596">
        <f t="shared" si="494"/>
        <v>216.01591061400003</v>
      </c>
      <c r="AE596">
        <f t="shared" si="495"/>
        <v>-2.592381868799758</v>
      </c>
      <c r="AF596">
        <f t="shared" si="496"/>
        <v>0.22801679453699999</v>
      </c>
      <c r="AG596">
        <f t="shared" si="473"/>
        <v>6.8901171879521534</v>
      </c>
      <c r="AH596">
        <f t="shared" si="474"/>
        <v>-82.721164948628612</v>
      </c>
      <c r="AJ596">
        <f t="shared" si="497"/>
        <v>10500</v>
      </c>
      <c r="AK596">
        <f t="shared" si="498"/>
        <v>4989.9675351834003</v>
      </c>
      <c r="AL596">
        <v>1</v>
      </c>
      <c r="AM596">
        <f t="shared" si="499"/>
        <v>227.29194114805082</v>
      </c>
      <c r="AN596">
        <f t="shared" si="475"/>
        <v>22.156817890341102</v>
      </c>
      <c r="AO596">
        <f t="shared" si="476"/>
        <v>-46.09861277608924</v>
      </c>
      <c r="AQ596">
        <f t="shared" si="500"/>
        <v>6.8528818526848322E-4</v>
      </c>
      <c r="AR596">
        <f t="shared" si="501"/>
        <v>-2.6178008677256059</v>
      </c>
      <c r="AT596">
        <f t="shared" si="470"/>
        <v>-216.54281566588892</v>
      </c>
      <c r="AU596">
        <f t="shared" si="471"/>
        <v>-18.093642590363199</v>
      </c>
      <c r="AV596">
        <f t="shared" si="511"/>
        <v>-3.0582294184301935</v>
      </c>
      <c r="AW596">
        <f t="shared" si="512"/>
        <v>-93.445203582165092</v>
      </c>
      <c r="AX596">
        <f t="shared" si="513"/>
        <v>-187.92873697462016</v>
      </c>
      <c r="AY596">
        <f t="shared" si="521"/>
        <v>-2.0322314444425693</v>
      </c>
      <c r="BA596">
        <f t="shared" si="502"/>
        <v>1.0353459455622243</v>
      </c>
      <c r="BB596">
        <f t="shared" si="514"/>
        <v>0.3017097426278546</v>
      </c>
      <c r="BC596">
        <f t="shared" si="515"/>
        <v>-1.0259979739876242</v>
      </c>
      <c r="BD596">
        <f t="shared" si="503"/>
        <v>-238.78535376563616</v>
      </c>
      <c r="BF596">
        <f t="shared" si="504"/>
        <v>-60.610559488522007</v>
      </c>
      <c r="BG596">
        <f t="shared" si="505"/>
        <v>-188.38272352051575</v>
      </c>
      <c r="BH596">
        <f t="shared" si="516"/>
        <v>-8.3827235205157535</v>
      </c>
      <c r="BI596">
        <f t="shared" si="517"/>
        <v>-8.3827235205157535</v>
      </c>
      <c r="BJ596">
        <f t="shared" si="506"/>
        <v>0</v>
      </c>
      <c r="BK596">
        <f t="shared" si="518"/>
        <v>0</v>
      </c>
      <c r="BM596">
        <f t="shared" si="519"/>
        <v>-60.912269231149864</v>
      </c>
      <c r="BN596">
        <f t="shared" si="507"/>
        <v>-129.59736975487962</v>
      </c>
      <c r="BQ596" s="56">
        <f t="shared" si="520"/>
        <v>17.203670542912988</v>
      </c>
    </row>
    <row r="597" spans="1:69" x14ac:dyDescent="0.2">
      <c r="A597">
        <f t="shared" si="522"/>
        <v>1915000</v>
      </c>
      <c r="B597">
        <f t="shared" si="508"/>
        <v>1915</v>
      </c>
      <c r="C597">
        <f t="shared" si="477"/>
        <v>1.5645326448121104</v>
      </c>
      <c r="D597">
        <f t="shared" si="478"/>
        <v>0.87737971466509412</v>
      </c>
      <c r="F597">
        <f t="shared" si="479"/>
        <v>3.8221752032606895E-5</v>
      </c>
      <c r="G597">
        <f t="shared" si="480"/>
        <v>3.5881792677605012E-3</v>
      </c>
      <c r="H597">
        <f t="shared" si="481"/>
        <v>-3.1380044707322399</v>
      </c>
      <c r="J597">
        <f t="shared" si="482"/>
        <v>15</v>
      </c>
      <c r="M597">
        <f t="shared" si="483"/>
        <v>4.1658962883385069E-4</v>
      </c>
      <c r="N597">
        <f t="shared" si="484"/>
        <v>-1.5707963250000001</v>
      </c>
      <c r="O597">
        <f t="shared" si="485"/>
        <v>216.58370587955588</v>
      </c>
      <c r="P597">
        <f t="shared" si="486"/>
        <v>1.5661791578855864</v>
      </c>
      <c r="Q597">
        <f t="shared" si="487"/>
        <v>227.8891402894138</v>
      </c>
      <c r="R597">
        <f t="shared" si="488"/>
        <v>1.5664082141889488</v>
      </c>
      <c r="S597">
        <f t="shared" si="489"/>
        <v>0.90275936218900377</v>
      </c>
      <c r="T597">
        <f t="shared" si="490"/>
        <v>-0.44465443613652561</v>
      </c>
      <c r="U597">
        <f t="shared" si="491"/>
        <v>8.7391196000375024E-2</v>
      </c>
      <c r="V597">
        <f t="shared" si="492"/>
        <v>-1.4832935091033668</v>
      </c>
      <c r="X597">
        <f t="shared" si="509"/>
        <v>-56.742319452375014</v>
      </c>
      <c r="Y597">
        <f t="shared" si="493"/>
        <v>-150.50350266189045</v>
      </c>
      <c r="Z597">
        <f t="shared" si="510"/>
        <v>29.496497338109549</v>
      </c>
      <c r="AC597">
        <v>1</v>
      </c>
      <c r="AD597">
        <f t="shared" si="494"/>
        <v>216.581397291</v>
      </c>
      <c r="AE597">
        <f t="shared" si="495"/>
        <v>-2.6059723140289992</v>
      </c>
      <c r="AF597">
        <f t="shared" si="496"/>
        <v>0.22861369714049998</v>
      </c>
      <c r="AG597">
        <f t="shared" si="473"/>
        <v>6.8544588610354884</v>
      </c>
      <c r="AH597">
        <f t="shared" si="474"/>
        <v>-82.508310986794513</v>
      </c>
      <c r="AJ597">
        <f t="shared" si="497"/>
        <v>10500</v>
      </c>
      <c r="AK597">
        <f t="shared" si="498"/>
        <v>5003.0302774221009</v>
      </c>
      <c r="AL597">
        <v>1</v>
      </c>
      <c r="AM597">
        <f t="shared" si="499"/>
        <v>227.88694622959022</v>
      </c>
      <c r="AN597">
        <f t="shared" si="475"/>
        <v>22.155760198039133</v>
      </c>
      <c r="AO597">
        <f t="shared" si="476"/>
        <v>-45.97825550413846</v>
      </c>
      <c r="AQ597">
        <f t="shared" si="500"/>
        <v>6.8171432883758643E-4</v>
      </c>
      <c r="AR597">
        <f t="shared" si="501"/>
        <v>-2.610965879447956</v>
      </c>
      <c r="AT597">
        <f t="shared" si="470"/>
        <v>-215.42171197457941</v>
      </c>
      <c r="AU597">
        <f t="shared" si="471"/>
        <v>-17.953005306091246</v>
      </c>
      <c r="AV597">
        <f t="shared" si="511"/>
        <v>-3.0584459082077626</v>
      </c>
      <c r="AW597">
        <f t="shared" si="512"/>
        <v>-92.843194588054445</v>
      </c>
      <c r="AX597">
        <f t="shared" si="513"/>
        <v>-187.43743964354834</v>
      </c>
      <c r="AY597">
        <f t="shared" si="521"/>
        <v>-2.0307001371607689</v>
      </c>
      <c r="BA597">
        <f t="shared" si="502"/>
        <v>1.0334518181467511</v>
      </c>
      <c r="BB597">
        <f t="shared" si="514"/>
        <v>0.28580467295217415</v>
      </c>
      <c r="BC597">
        <f t="shared" si="515"/>
        <v>-1.0277457710469937</v>
      </c>
      <c r="BD597">
        <f t="shared" si="503"/>
        <v>-238.88549516069781</v>
      </c>
      <c r="BF597">
        <f t="shared" si="504"/>
        <v>-60.658465745902404</v>
      </c>
      <c r="BG597">
        <f t="shared" si="505"/>
        <v>-188.40975289413956</v>
      </c>
      <c r="BH597">
        <f t="shared" si="516"/>
        <v>-8.4097528941395581</v>
      </c>
      <c r="BI597">
        <f t="shared" si="517"/>
        <v>-8.4097528941395581</v>
      </c>
      <c r="BJ597">
        <f t="shared" si="506"/>
        <v>0</v>
      </c>
      <c r="BK597">
        <f t="shared" si="518"/>
        <v>0</v>
      </c>
      <c r="BM597">
        <f t="shared" si="519"/>
        <v>-60.944270418854586</v>
      </c>
      <c r="BN597">
        <f t="shared" si="507"/>
        <v>-129.52425773344174</v>
      </c>
      <c r="BQ597" s="56">
        <f t="shared" si="520"/>
        <v>17.18776547323731</v>
      </c>
    </row>
    <row r="598" spans="1:69" x14ac:dyDescent="0.2">
      <c r="A598">
        <f t="shared" si="522"/>
        <v>1920000</v>
      </c>
      <c r="B598">
        <f t="shared" si="508"/>
        <v>1920</v>
      </c>
      <c r="C598">
        <f t="shared" si="477"/>
        <v>1.5669500257637807</v>
      </c>
      <c r="D598">
        <f t="shared" si="478"/>
        <v>0.87866118989457753</v>
      </c>
      <c r="F598">
        <f t="shared" si="479"/>
        <v>3.802293317790387E-5</v>
      </c>
      <c r="G598">
        <f t="shared" si="480"/>
        <v>3.578834405063049E-3</v>
      </c>
      <c r="H598">
        <f t="shared" si="481"/>
        <v>-3.1380138155949373</v>
      </c>
      <c r="J598">
        <f t="shared" si="482"/>
        <v>15</v>
      </c>
      <c r="M598">
        <f t="shared" si="483"/>
        <v>4.1550476000876255E-4</v>
      </c>
      <c r="N598">
        <f t="shared" si="484"/>
        <v>-1.5707963250000001</v>
      </c>
      <c r="O598">
        <f t="shared" si="485"/>
        <v>217.14918654467036</v>
      </c>
      <c r="P598">
        <f t="shared" si="486"/>
        <v>1.5661911815927367</v>
      </c>
      <c r="Q598">
        <f t="shared" si="487"/>
        <v>228.48413965731055</v>
      </c>
      <c r="R598">
        <f t="shared" si="488"/>
        <v>1.5664196414194065</v>
      </c>
      <c r="S598">
        <f t="shared" si="489"/>
        <v>0.90232299055894749</v>
      </c>
      <c r="T598">
        <f t="shared" si="490"/>
        <v>-0.44566783206833127</v>
      </c>
      <c r="U598">
        <f t="shared" si="491"/>
        <v>8.7165346117115003E-2</v>
      </c>
      <c r="V598">
        <f t="shared" si="492"/>
        <v>-1.4835202241383467</v>
      </c>
      <c r="X598">
        <f t="shared" si="509"/>
        <v>-56.778236556652274</v>
      </c>
      <c r="Y598">
        <f t="shared" si="493"/>
        <v>-150.50032444565369</v>
      </c>
      <c r="Z598">
        <f t="shared" si="510"/>
        <v>29.499675554346311</v>
      </c>
      <c r="AC598">
        <v>1</v>
      </c>
      <c r="AD598">
        <f t="shared" si="494"/>
        <v>217.14688396800003</v>
      </c>
      <c r="AE598">
        <f t="shared" si="495"/>
        <v>-2.6195982898340033</v>
      </c>
      <c r="AF598">
        <f t="shared" si="496"/>
        <v>0.22921059974400002</v>
      </c>
      <c r="AG598">
        <f t="shared" si="473"/>
        <v>6.8190759297621355</v>
      </c>
      <c r="AH598">
        <f t="shared" si="474"/>
        <v>-82.296541542673069</v>
      </c>
      <c r="AJ598">
        <f t="shared" si="497"/>
        <v>10500</v>
      </c>
      <c r="AK598">
        <f t="shared" si="498"/>
        <v>5016.0930196608006</v>
      </c>
      <c r="AL598">
        <v>1</v>
      </c>
      <c r="AM598">
        <f t="shared" si="499"/>
        <v>228.48195131112962</v>
      </c>
      <c r="AN598">
        <f t="shared" si="475"/>
        <v>22.154710757983135</v>
      </c>
      <c r="AO598">
        <f t="shared" si="476"/>
        <v>-45.858525056861374</v>
      </c>
      <c r="AQ598">
        <f t="shared" si="500"/>
        <v>6.7816835678654263E-4</v>
      </c>
      <c r="AR598">
        <f t="shared" si="501"/>
        <v>-2.6041664900603236</v>
      </c>
      <c r="AT598">
        <f t="shared" ref="AT598:AT626" si="523">-AR598*AH598+AG598*AQ598</f>
        <v>-214.30927125176845</v>
      </c>
      <c r="AU598">
        <f t="shared" ref="AU598:AU626" si="524">AQ598*AH598+AG598*AR598</f>
        <v>-17.813819939810706</v>
      </c>
      <c r="AV598">
        <f t="shared" si="511"/>
        <v>-3.0586612794746233</v>
      </c>
      <c r="AW598">
        <f t="shared" si="512"/>
        <v>-92.24588460391854</v>
      </c>
      <c r="AX598">
        <f t="shared" si="513"/>
        <v>-186.94870617236049</v>
      </c>
      <c r="AY598">
        <f t="shared" si="521"/>
        <v>-2.0291732084702989</v>
      </c>
      <c r="BA598">
        <f t="shared" si="502"/>
        <v>1.0315627596597445</v>
      </c>
      <c r="BB598">
        <f t="shared" si="514"/>
        <v>0.26991310657646067</v>
      </c>
      <c r="BC598">
        <f t="shared" si="515"/>
        <v>-1.0294880710043244</v>
      </c>
      <c r="BD598">
        <f t="shared" si="503"/>
        <v>-238.98532159501275</v>
      </c>
      <c r="BF598">
        <f t="shared" si="504"/>
        <v>-60.706246468566945</v>
      </c>
      <c r="BG598">
        <f t="shared" si="505"/>
        <v>-188.43669162736393</v>
      </c>
      <c r="BH598">
        <f t="shared" si="516"/>
        <v>-8.4366916273639276</v>
      </c>
      <c r="BI598">
        <f t="shared" si="517"/>
        <v>-8.4366916273639276</v>
      </c>
      <c r="BJ598">
        <f t="shared" si="506"/>
        <v>0</v>
      </c>
      <c r="BK598">
        <f t="shared" si="518"/>
        <v>0</v>
      </c>
      <c r="BM598">
        <f t="shared" si="519"/>
        <v>-60.97615957514342</v>
      </c>
      <c r="BN598">
        <f t="shared" si="507"/>
        <v>-129.45137003235118</v>
      </c>
      <c r="BQ598" s="56">
        <f t="shared" si="520"/>
        <v>17.171873906861599</v>
      </c>
    </row>
    <row r="599" spans="1:69" x14ac:dyDescent="0.2">
      <c r="A599">
        <f t="shared" ref="A599:A614" si="525">A598+5000</f>
        <v>1925000</v>
      </c>
      <c r="B599">
        <f t="shared" si="508"/>
        <v>1925</v>
      </c>
      <c r="C599">
        <f t="shared" si="477"/>
        <v>1.5693699719977459</v>
      </c>
      <c r="D599">
        <f t="shared" si="478"/>
        <v>0.8799387151833501</v>
      </c>
      <c r="F599">
        <f t="shared" si="479"/>
        <v>3.7825661614694886E-5</v>
      </c>
      <c r="G599">
        <f t="shared" si="480"/>
        <v>3.5695380921201203E-3</v>
      </c>
      <c r="H599">
        <f t="shared" si="481"/>
        <v>-3.1380231119078803</v>
      </c>
      <c r="J599">
        <f t="shared" si="482"/>
        <v>15</v>
      </c>
      <c r="M599">
        <f t="shared" si="483"/>
        <v>4.1442552686588258E-4</v>
      </c>
      <c r="N599">
        <f t="shared" si="484"/>
        <v>-1.5707963250000001</v>
      </c>
      <c r="O599">
        <f t="shared" si="485"/>
        <v>217.71466724101492</v>
      </c>
      <c r="P599">
        <f t="shared" si="486"/>
        <v>1.5662031428403917</v>
      </c>
      <c r="Q599">
        <f t="shared" si="487"/>
        <v>229.07913905488812</v>
      </c>
      <c r="R599">
        <f t="shared" si="488"/>
        <v>1.5664310092887621</v>
      </c>
      <c r="S599">
        <f t="shared" si="489"/>
        <v>0.90188611571908284</v>
      </c>
      <c r="T599">
        <f t="shared" si="490"/>
        <v>-0.4466802477336787</v>
      </c>
      <c r="U599">
        <f t="shared" si="491"/>
        <v>8.6940656143147554E-2</v>
      </c>
      <c r="V599">
        <f t="shared" si="492"/>
        <v>-1.4837457703580925</v>
      </c>
      <c r="X599">
        <f t="shared" si="509"/>
        <v>-56.814050520314339</v>
      </c>
      <c r="Y599">
        <f t="shared" si="493"/>
        <v>-150.4972536091484</v>
      </c>
      <c r="Z599">
        <f t="shared" si="510"/>
        <v>29.502746390851598</v>
      </c>
      <c r="AC599">
        <v>1</v>
      </c>
      <c r="AD599">
        <f t="shared" si="494"/>
        <v>217.71237064499999</v>
      </c>
      <c r="AE599">
        <f t="shared" si="495"/>
        <v>-2.6332597962147704</v>
      </c>
      <c r="AF599">
        <f t="shared" si="496"/>
        <v>0.2298075023475</v>
      </c>
      <c r="AG599">
        <f t="shared" si="473"/>
        <v>6.7839655727277819</v>
      </c>
      <c r="AH599">
        <f t="shared" si="474"/>
        <v>-82.085848411703921</v>
      </c>
      <c r="AJ599">
        <f t="shared" si="497"/>
        <v>10500</v>
      </c>
      <c r="AK599">
        <f t="shared" si="498"/>
        <v>5029.1557618995012</v>
      </c>
      <c r="AL599">
        <v>1</v>
      </c>
      <c r="AM599">
        <f t="shared" si="499"/>
        <v>229.07695639266905</v>
      </c>
      <c r="AN599">
        <f t="shared" si="475"/>
        <v>22.153669484549653</v>
      </c>
      <c r="AO599">
        <f t="shared" si="476"/>
        <v>-45.739416550283636</v>
      </c>
      <c r="AQ599">
        <f t="shared" si="500"/>
        <v>6.7464997978411336E-4</v>
      </c>
      <c r="AR599">
        <f t="shared" si="501"/>
        <v>-2.5974024221688365</v>
      </c>
      <c r="AT599">
        <f t="shared" si="523"/>
        <v>-213.20540468810722</v>
      </c>
      <c r="AU599">
        <f t="shared" si="524"/>
        <v>-17.676067826484655</v>
      </c>
      <c r="AV599">
        <f t="shared" si="511"/>
        <v>-3.0588755408535948</v>
      </c>
      <c r="AW599">
        <f t="shared" si="512"/>
        <v>-91.653224847495551</v>
      </c>
      <c r="AX599">
        <f t="shared" si="513"/>
        <v>-186.4625165286684</v>
      </c>
      <c r="AY599">
        <f t="shared" si="521"/>
        <v>-2.0276506383691277</v>
      </c>
      <c r="BA599">
        <f t="shared" si="502"/>
        <v>1.0296787607340423</v>
      </c>
      <c r="BB599">
        <f t="shared" si="514"/>
        <v>0.25403509214490588</v>
      </c>
      <c r="BC599">
        <f t="shared" si="515"/>
        <v>-1.0312249024844671</v>
      </c>
      <c r="BD599">
        <f t="shared" si="503"/>
        <v>-239.08483470866412</v>
      </c>
      <c r="BF599">
        <f t="shared" si="504"/>
        <v>-60.753902292195569</v>
      </c>
      <c r="BG599">
        <f t="shared" si="505"/>
        <v>-188.46354057316103</v>
      </c>
      <c r="BH599">
        <f t="shared" si="516"/>
        <v>-8.4635405731610263</v>
      </c>
      <c r="BI599">
        <f t="shared" si="517"/>
        <v>-8.4635405731610263</v>
      </c>
      <c r="BJ599">
        <f t="shared" si="506"/>
        <v>0</v>
      </c>
      <c r="BK599">
        <f t="shared" si="518"/>
        <v>0</v>
      </c>
      <c r="BM599">
        <f t="shared" si="519"/>
        <v>-61.00793738434048</v>
      </c>
      <c r="BN599">
        <f t="shared" si="507"/>
        <v>-129.37870586449694</v>
      </c>
      <c r="BQ599" s="56">
        <f t="shared" si="520"/>
        <v>17.155995892430042</v>
      </c>
    </row>
    <row r="600" spans="1:69" x14ac:dyDescent="0.2">
      <c r="A600">
        <f t="shared" si="525"/>
        <v>1930000</v>
      </c>
      <c r="B600">
        <f t="shared" si="508"/>
        <v>1930</v>
      </c>
      <c r="C600">
        <f t="shared" si="477"/>
        <v>1.571792471665409</v>
      </c>
      <c r="D600">
        <f t="shared" si="478"/>
        <v>0.88121230461509292</v>
      </c>
      <c r="F600">
        <f t="shared" si="479"/>
        <v>3.7629921328801352E-5</v>
      </c>
      <c r="G600">
        <f t="shared" si="480"/>
        <v>3.5602899515502656E-3</v>
      </c>
      <c r="H600">
        <f t="shared" si="481"/>
        <v>-3.1380323600484501</v>
      </c>
      <c r="J600">
        <f t="shared" si="482"/>
        <v>15</v>
      </c>
      <c r="M600">
        <f t="shared" si="483"/>
        <v>4.1335188560457205E-4</v>
      </c>
      <c r="N600">
        <f t="shared" si="484"/>
        <v>-1.5707963250000001</v>
      </c>
      <c r="O600">
        <f t="shared" si="485"/>
        <v>218.28014796834682</v>
      </c>
      <c r="P600">
        <f t="shared" si="486"/>
        <v>1.5662150421139747</v>
      </c>
      <c r="Q600">
        <f t="shared" si="487"/>
        <v>229.67413848191586</v>
      </c>
      <c r="R600">
        <f t="shared" si="488"/>
        <v>1.5664423182583596</v>
      </c>
      <c r="S600">
        <f t="shared" si="489"/>
        <v>0.90144874108475459</v>
      </c>
      <c r="T600">
        <f t="shared" si="490"/>
        <v>-0.44769168248179991</v>
      </c>
      <c r="U600">
        <f t="shared" si="491"/>
        <v>8.6717117200005217E-2</v>
      </c>
      <c r="V600">
        <f t="shared" si="492"/>
        <v>-1.4839701567552248</v>
      </c>
      <c r="X600">
        <f t="shared" si="509"/>
        <v>-56.84976198454514</v>
      </c>
      <c r="Y600">
        <f t="shared" si="493"/>
        <v>-150.49428979076856</v>
      </c>
      <c r="Z600">
        <f t="shared" si="510"/>
        <v>29.505710209231438</v>
      </c>
      <c r="AC600">
        <v>1</v>
      </c>
      <c r="AD600">
        <f t="shared" si="494"/>
        <v>218.27785732200002</v>
      </c>
      <c r="AE600">
        <f t="shared" si="495"/>
        <v>-2.6469568331712998</v>
      </c>
      <c r="AF600">
        <f t="shared" si="496"/>
        <v>0.23040440495099998</v>
      </c>
      <c r="AG600">
        <f t="shared" si="473"/>
        <v>6.7491250044746174</v>
      </c>
      <c r="AH600">
        <f t="shared" si="474"/>
        <v>-81.876223471219248</v>
      </c>
      <c r="AJ600">
        <f t="shared" si="497"/>
        <v>10500</v>
      </c>
      <c r="AK600">
        <f t="shared" si="498"/>
        <v>5042.2185041382008</v>
      </c>
      <c r="AL600">
        <v>1</v>
      </c>
      <c r="AM600">
        <f t="shared" si="499"/>
        <v>229.67196147420844</v>
      </c>
      <c r="AN600">
        <f t="shared" si="475"/>
        <v>22.152636293222887</v>
      </c>
      <c r="AO600">
        <f t="shared" si="476"/>
        <v>-45.620925151037255</v>
      </c>
      <c r="AQ600">
        <f t="shared" si="500"/>
        <v>6.7115891224201244E-4</v>
      </c>
      <c r="AR600">
        <f t="shared" si="501"/>
        <v>-2.5906734012541679</v>
      </c>
      <c r="AT600">
        <f t="shared" si="523"/>
        <v>-212.11002460663329</v>
      </c>
      <c r="AU600">
        <f t="shared" si="524"/>
        <v>-17.539730587915237</v>
      </c>
      <c r="AV600">
        <f t="shared" si="511"/>
        <v>-3.0590887008793262</v>
      </c>
      <c r="AW600">
        <f t="shared" si="512"/>
        <v>-91.065167167978387</v>
      </c>
      <c r="AX600">
        <f t="shared" si="513"/>
        <v>-185.97885088840897</v>
      </c>
      <c r="AY600">
        <f t="shared" si="521"/>
        <v>-2.0261324069496931</v>
      </c>
      <c r="BA600">
        <f t="shared" si="502"/>
        <v>1.0277998118931893</v>
      </c>
      <c r="BB600">
        <f t="shared" si="514"/>
        <v>0.23817067730109384</v>
      </c>
      <c r="BC600">
        <f t="shared" si="515"/>
        <v>-1.0329562939296331</v>
      </c>
      <c r="BD600">
        <f t="shared" si="503"/>
        <v>-239.18403613127052</v>
      </c>
      <c r="BF600">
        <f t="shared" si="504"/>
        <v>-60.801433847889257</v>
      </c>
      <c r="BG600">
        <f t="shared" si="505"/>
        <v>-188.49030057583633</v>
      </c>
      <c r="BH600">
        <f t="shared" si="516"/>
        <v>-8.4903005758363292</v>
      </c>
      <c r="BI600">
        <f t="shared" si="517"/>
        <v>-8.4903005758363292</v>
      </c>
      <c r="BJ600">
        <f t="shared" si="506"/>
        <v>0</v>
      </c>
      <c r="BK600">
        <f t="shared" si="518"/>
        <v>0</v>
      </c>
      <c r="BM600">
        <f t="shared" si="519"/>
        <v>-61.039604525190342</v>
      </c>
      <c r="BN600">
        <f t="shared" si="507"/>
        <v>-129.30626444456581</v>
      </c>
      <c r="BQ600" s="56">
        <f t="shared" si="520"/>
        <v>17.14013147758623</v>
      </c>
    </row>
    <row r="601" spans="1:69" x14ac:dyDescent="0.2">
      <c r="A601">
        <f t="shared" si="525"/>
        <v>1935000</v>
      </c>
      <c r="B601">
        <f t="shared" si="508"/>
        <v>1935</v>
      </c>
      <c r="C601">
        <f t="shared" si="477"/>
        <v>1.5742175129786422</v>
      </c>
      <c r="D601">
        <f t="shared" si="478"/>
        <v>0.8824819722379148</v>
      </c>
      <c r="F601">
        <f t="shared" si="479"/>
        <v>3.7435696512691784E-5</v>
      </c>
      <c r="G601">
        <f t="shared" si="480"/>
        <v>3.551089609873285E-3</v>
      </c>
      <c r="H601">
        <f t="shared" si="481"/>
        <v>-3.138041560390127</v>
      </c>
      <c r="J601">
        <f t="shared" si="482"/>
        <v>15</v>
      </c>
      <c r="M601">
        <f t="shared" si="483"/>
        <v>4.1228379287691169E-4</v>
      </c>
      <c r="N601">
        <f t="shared" si="484"/>
        <v>-1.5707963250000001</v>
      </c>
      <c r="O601">
        <f t="shared" si="485"/>
        <v>218.84562872642587</v>
      </c>
      <c r="P601">
        <f t="shared" si="486"/>
        <v>1.5662268798938908</v>
      </c>
      <c r="Q601">
        <f t="shared" si="487"/>
        <v>230.26913793816547</v>
      </c>
      <c r="R601">
        <f t="shared" si="488"/>
        <v>1.5664535687847749</v>
      </c>
      <c r="S601">
        <f t="shared" si="489"/>
        <v>0.90101087006539271</v>
      </c>
      <c r="T601">
        <f t="shared" si="490"/>
        <v>-0.44870213567121514</v>
      </c>
      <c r="U601">
        <f t="shared" si="491"/>
        <v>8.6494720499252262E-2</v>
      </c>
      <c r="V601">
        <f t="shared" si="492"/>
        <v>-1.4841933922305837</v>
      </c>
      <c r="X601">
        <f t="shared" si="509"/>
        <v>-56.885371585197817</v>
      </c>
      <c r="Y601">
        <f t="shared" si="493"/>
        <v>-150.49143262655716</v>
      </c>
      <c r="Z601">
        <f t="shared" si="510"/>
        <v>29.508567373442844</v>
      </c>
      <c r="AC601">
        <v>1</v>
      </c>
      <c r="AD601">
        <f t="shared" si="494"/>
        <v>218.84334399900001</v>
      </c>
      <c r="AE601">
        <f t="shared" si="495"/>
        <v>-2.6606894007035922</v>
      </c>
      <c r="AF601">
        <f t="shared" si="496"/>
        <v>0.23100130755450002</v>
      </c>
      <c r="AG601">
        <f t="shared" si="473"/>
        <v>6.7145514749445416</v>
      </c>
      <c r="AH601">
        <f t="shared" si="474"/>
        <v>-81.667658679432904</v>
      </c>
      <c r="AJ601">
        <f t="shared" si="497"/>
        <v>10500</v>
      </c>
      <c r="AK601">
        <f t="shared" si="498"/>
        <v>5055.2812463769005</v>
      </c>
      <c r="AL601">
        <v>1</v>
      </c>
      <c r="AM601">
        <f t="shared" si="499"/>
        <v>230.26696655574784</v>
      </c>
      <c r="AN601">
        <f t="shared" si="475"/>
        <v>22.15161110057748</v>
      </c>
      <c r="AO601">
        <f t="shared" si="476"/>
        <v>-45.503046075706763</v>
      </c>
      <c r="AQ601">
        <f t="shared" si="500"/>
        <v>6.6769487225695084E-4</v>
      </c>
      <c r="AR601">
        <f t="shared" si="501"/>
        <v>-2.5839791556343998</v>
      </c>
      <c r="AT601">
        <f t="shared" si="523"/>
        <v>-211.02304444553008</v>
      </c>
      <c r="AU601">
        <f t="shared" si="524"/>
        <v>-17.404790127620398</v>
      </c>
      <c r="AV601">
        <f t="shared" si="511"/>
        <v>-3.0593007679994204</v>
      </c>
      <c r="AW601">
        <f t="shared" si="512"/>
        <v>-90.481664036230612</v>
      </c>
      <c r="AX601">
        <f t="shared" si="513"/>
        <v>-185.49768963314006</v>
      </c>
      <c r="AY601">
        <f t="shared" si="521"/>
        <v>-2.0246184943986698</v>
      </c>
      <c r="BA601">
        <f t="shared" si="502"/>
        <v>1.0259259035541166</v>
      </c>
      <c r="BB601">
        <f t="shared" si="514"/>
        <v>0.22231990870074619</v>
      </c>
      <c r="BC601">
        <f t="shared" si="515"/>
        <v>-1.0346822736007506</v>
      </c>
      <c r="BD601">
        <f t="shared" si="503"/>
        <v>-239.28292748206394</v>
      </c>
      <c r="BF601">
        <f t="shared" si="504"/>
        <v>-60.848841762213411</v>
      </c>
      <c r="BG601">
        <f t="shared" si="505"/>
        <v>-188.51697247112327</v>
      </c>
      <c r="BH601">
        <f t="shared" si="516"/>
        <v>-8.5169724711232675</v>
      </c>
      <c r="BI601">
        <f t="shared" si="517"/>
        <v>-8.5169724711232675</v>
      </c>
      <c r="BJ601">
        <f t="shared" si="506"/>
        <v>0</v>
      </c>
      <c r="BK601">
        <f t="shared" si="518"/>
        <v>0</v>
      </c>
      <c r="BM601">
        <f t="shared" si="519"/>
        <v>-61.071161670914158</v>
      </c>
      <c r="BN601">
        <f t="shared" si="507"/>
        <v>-129.23404498905933</v>
      </c>
      <c r="BQ601" s="56">
        <f t="shared" si="520"/>
        <v>17.124280708985882</v>
      </c>
    </row>
    <row r="602" spans="1:69" x14ac:dyDescent="0.2">
      <c r="A602">
        <f t="shared" si="525"/>
        <v>1940000</v>
      </c>
      <c r="B602">
        <f t="shared" si="508"/>
        <v>1940</v>
      </c>
      <c r="C602">
        <f t="shared" si="477"/>
        <v>1.5766450842095141</v>
      </c>
      <c r="D602">
        <f t="shared" si="478"/>
        <v>0.88374773206411816</v>
      </c>
      <c r="F602">
        <f t="shared" si="479"/>
        <v>3.7242971562290099E-5</v>
      </c>
      <c r="G602">
        <f t="shared" si="480"/>
        <v>3.5419366974599425E-3</v>
      </c>
      <c r="H602">
        <f t="shared" si="481"/>
        <v>-3.1380507133025404</v>
      </c>
      <c r="J602">
        <f t="shared" si="482"/>
        <v>15</v>
      </c>
      <c r="M602">
        <f t="shared" si="483"/>
        <v>4.1122120578186803E-4</v>
      </c>
      <c r="N602">
        <f t="shared" si="484"/>
        <v>-1.5707963250000001</v>
      </c>
      <c r="O602">
        <f t="shared" si="485"/>
        <v>219.41110951501437</v>
      </c>
      <c r="P602">
        <f t="shared" si="486"/>
        <v>1.5662386566555937</v>
      </c>
      <c r="Q602">
        <f t="shared" si="487"/>
        <v>230.86413742341102</v>
      </c>
      <c r="R602">
        <f t="shared" si="488"/>
        <v>1.566464761319877</v>
      </c>
      <c r="S602">
        <f t="shared" si="489"/>
        <v>0.90057250606446981</v>
      </c>
      <c r="T602">
        <f t="shared" si="490"/>
        <v>-0.4497116066697065</v>
      </c>
      <c r="U602">
        <f t="shared" si="491"/>
        <v>8.6273457341350987E-2</v>
      </c>
      <c r="V602">
        <f t="shared" si="492"/>
        <v>-1.4844154855943932</v>
      </c>
      <c r="X602">
        <f t="shared" si="509"/>
        <v>-56.920879952847656</v>
      </c>
      <c r="Y602">
        <f t="shared" si="493"/>
        <v>-150.48868175028011</v>
      </c>
      <c r="Z602">
        <f t="shared" si="510"/>
        <v>29.511318249719892</v>
      </c>
      <c r="AC602">
        <v>1</v>
      </c>
      <c r="AD602">
        <f t="shared" si="494"/>
        <v>219.40883067600004</v>
      </c>
      <c r="AE602">
        <f t="shared" si="495"/>
        <v>-2.674457498811647</v>
      </c>
      <c r="AF602">
        <f t="shared" si="496"/>
        <v>0.231598210158</v>
      </c>
      <c r="AG602">
        <f t="shared" si="473"/>
        <v>6.6802422689420746</v>
      </c>
      <c r="AH602">
        <f t="shared" si="474"/>
        <v>-81.460146074444864</v>
      </c>
      <c r="AJ602">
        <f t="shared" si="497"/>
        <v>10500</v>
      </c>
      <c r="AK602">
        <f t="shared" si="498"/>
        <v>5068.3439886156002</v>
      </c>
      <c r="AL602">
        <v>1</v>
      </c>
      <c r="AM602">
        <f t="shared" si="499"/>
        <v>230.86197163728721</v>
      </c>
      <c r="AN602">
        <f t="shared" si="475"/>
        <v>22.150593824261751</v>
      </c>
      <c r="AO602">
        <f t="shared" si="476"/>
        <v>-45.385774590185598</v>
      </c>
      <c r="AQ602">
        <f t="shared" si="500"/>
        <v>6.6425758155372642E-4</v>
      </c>
      <c r="AR602">
        <f t="shared" si="501"/>
        <v>-2.5773194164284585</v>
      </c>
      <c r="AT602">
        <f t="shared" si="523"/>
        <v>-209.94437874119146</v>
      </c>
      <c r="AU602">
        <f t="shared" si="524"/>
        <v>-17.271228625814931</v>
      </c>
      <c r="AV602">
        <f t="shared" si="511"/>
        <v>-3.0595117505755365</v>
      </c>
      <c r="AW602">
        <f t="shared" si="512"/>
        <v>-89.902668535178876</v>
      </c>
      <c r="AX602">
        <f t="shared" si="513"/>
        <v>-185.01901334737983</v>
      </c>
      <c r="AY602">
        <f t="shared" si="521"/>
        <v>-2.023108880996733</v>
      </c>
      <c r="BA602">
        <f t="shared" si="502"/>
        <v>1.0240570260297768</v>
      </c>
      <c r="BB602">
        <f t="shared" si="514"/>
        <v>0.20648283202430814</v>
      </c>
      <c r="BC602">
        <f t="shared" si="515"/>
        <v>-1.0364028695788035</v>
      </c>
      <c r="BD602">
        <f t="shared" si="503"/>
        <v>-239.38151036996621</v>
      </c>
      <c r="BF602">
        <f t="shared" si="504"/>
        <v>-60.896126657240586</v>
      </c>
      <c r="BG602">
        <f t="shared" si="505"/>
        <v>-188.54355708627614</v>
      </c>
      <c r="BH602">
        <f t="shared" si="516"/>
        <v>-8.5435570862761381</v>
      </c>
      <c r="BI602">
        <f t="shared" si="517"/>
        <v>-8.5435570862761381</v>
      </c>
      <c r="BJ602">
        <f t="shared" si="506"/>
        <v>0</v>
      </c>
      <c r="BK602">
        <f t="shared" si="518"/>
        <v>0</v>
      </c>
      <c r="BM602">
        <f t="shared" si="519"/>
        <v>-61.102609489264893</v>
      </c>
      <c r="BN602">
        <f t="shared" si="507"/>
        <v>-129.16204671630996</v>
      </c>
      <c r="BQ602" s="56">
        <f t="shared" si="520"/>
        <v>17.108443632309445</v>
      </c>
    </row>
    <row r="603" spans="1:69" x14ac:dyDescent="0.2">
      <c r="A603">
        <f t="shared" si="525"/>
        <v>1945000</v>
      </c>
      <c r="B603">
        <f t="shared" si="508"/>
        <v>1945</v>
      </c>
      <c r="C603">
        <f t="shared" si="477"/>
        <v>1.5790751736900137</v>
      </c>
      <c r="D603">
        <f t="shared" si="478"/>
        <v>0.88500959806997093</v>
      </c>
      <c r="F603">
        <f t="shared" si="479"/>
        <v>3.7051731073841277E-5</v>
      </c>
      <c r="G603">
        <f t="shared" si="480"/>
        <v>3.5328308484824612E-3</v>
      </c>
      <c r="H603">
        <f t="shared" si="481"/>
        <v>-3.1380598191515179</v>
      </c>
      <c r="J603">
        <f t="shared" si="482"/>
        <v>15</v>
      </c>
      <c r="M603">
        <f t="shared" si="483"/>
        <v>4.1016408185954965E-4</v>
      </c>
      <c r="N603">
        <f t="shared" si="484"/>
        <v>-1.5707963250000001</v>
      </c>
      <c r="O603">
        <f t="shared" si="485"/>
        <v>219.976590333877</v>
      </c>
      <c r="P603">
        <f t="shared" si="486"/>
        <v>1.5662503728696477</v>
      </c>
      <c r="Q603">
        <f t="shared" si="487"/>
        <v>231.45913693742887</v>
      </c>
      <c r="R603">
        <f t="shared" si="488"/>
        <v>1.5664758963108885</v>
      </c>
      <c r="S603">
        <f t="shared" si="489"/>
        <v>0.90013365247945931</v>
      </c>
      <c r="T603">
        <f t="shared" si="490"/>
        <v>-0.45072009485429165</v>
      </c>
      <c r="U603">
        <f t="shared" si="491"/>
        <v>8.6053319114544863E-2</v>
      </c>
      <c r="V603">
        <f t="shared" si="492"/>
        <v>-1.484636445567409</v>
      </c>
      <c r="X603">
        <f t="shared" si="509"/>
        <v>-56.9562877128445</v>
      </c>
      <c r="Y603">
        <f t="shared" si="493"/>
        <v>-150.48603679349961</v>
      </c>
      <c r="Z603">
        <f t="shared" si="510"/>
        <v>29.513963206500392</v>
      </c>
      <c r="AC603">
        <v>1</v>
      </c>
      <c r="AD603">
        <f t="shared" si="494"/>
        <v>219.974317353</v>
      </c>
      <c r="AE603">
        <f t="shared" si="495"/>
        <v>-2.6882611274954646</v>
      </c>
      <c r="AF603">
        <f t="shared" si="496"/>
        <v>0.23219511276149998</v>
      </c>
      <c r="AG603">
        <f t="shared" si="473"/>
        <v>6.6461947056067023</v>
      </c>
      <c r="AH603">
        <f t="shared" si="474"/>
        <v>-81.253677773259881</v>
      </c>
      <c r="AJ603">
        <f t="shared" si="497"/>
        <v>10500</v>
      </c>
      <c r="AK603">
        <f t="shared" si="498"/>
        <v>5081.4067308542999</v>
      </c>
      <c r="AL603">
        <v>1</v>
      </c>
      <c r="AM603">
        <f t="shared" si="499"/>
        <v>231.45697671882661</v>
      </c>
      <c r="AN603">
        <f t="shared" si="475"/>
        <v>22.1495843829811</v>
      </c>
      <c r="AO603">
        <f t="shared" si="476"/>
        <v>-45.269106009042396</v>
      </c>
      <c r="AQ603">
        <f t="shared" si="500"/>
        <v>6.6084676542933459E-4</v>
      </c>
      <c r="AR603">
        <f t="shared" si="501"/>
        <v>-2.5706939175201118</v>
      </c>
      <c r="AT603">
        <f t="shared" si="523"/>
        <v>-208.87394311158468</v>
      </c>
      <c r="AU603">
        <f t="shared" si="524"/>
        <v>-17.139028534493214</v>
      </c>
      <c r="AV603">
        <f t="shared" si="511"/>
        <v>-3.0597216568844767</v>
      </c>
      <c r="AW603">
        <f t="shared" si="512"/>
        <v>-89.32813435037788</v>
      </c>
      <c r="AX603">
        <f t="shared" si="513"/>
        <v>-184.54280281598582</v>
      </c>
      <c r="AY603">
        <f t="shared" si="521"/>
        <v>-2.0216035471183131</v>
      </c>
      <c r="BA603">
        <f t="shared" si="502"/>
        <v>1.0221931695317374</v>
      </c>
      <c r="BB603">
        <f t="shared" si="514"/>
        <v>0.19065949198940418</v>
      </c>
      <c r="BC603">
        <f t="shared" si="515"/>
        <v>-1.0381181097661636</v>
      </c>
      <c r="BD603">
        <f t="shared" si="503"/>
        <v>-239.47978639366545</v>
      </c>
      <c r="BF603">
        <f t="shared" si="504"/>
        <v>-60.943289150592712</v>
      </c>
      <c r="BG603">
        <f t="shared" si="505"/>
        <v>-188.57005524016228</v>
      </c>
      <c r="BH603">
        <f t="shared" si="516"/>
        <v>-8.5700552401622758</v>
      </c>
      <c r="BI603">
        <f t="shared" si="517"/>
        <v>-8.5700552401622758</v>
      </c>
      <c r="BJ603">
        <f t="shared" si="506"/>
        <v>0</v>
      </c>
      <c r="BK603">
        <f t="shared" si="518"/>
        <v>0</v>
      </c>
      <c r="BM603">
        <f t="shared" si="519"/>
        <v>-61.133948642582119</v>
      </c>
      <c r="BN603">
        <f t="shared" si="507"/>
        <v>-129.09026884649683</v>
      </c>
      <c r="BQ603" s="56">
        <f t="shared" si="520"/>
        <v>17.092620292274539</v>
      </c>
    </row>
    <row r="604" spans="1:69" x14ac:dyDescent="0.2">
      <c r="A604">
        <f t="shared" si="525"/>
        <v>1950000</v>
      </c>
      <c r="B604">
        <f t="shared" si="508"/>
        <v>1950</v>
      </c>
      <c r="C604">
        <f t="shared" si="477"/>
        <v>1.5815077698117783</v>
      </c>
      <c r="D604">
        <f t="shared" si="478"/>
        <v>0.88626758419548579</v>
      </c>
      <c r="F604">
        <f t="shared" si="479"/>
        <v>3.6861959840833305E-5</v>
      </c>
      <c r="G604">
        <f t="shared" si="480"/>
        <v>3.5237717008657732E-3</v>
      </c>
      <c r="H604">
        <f t="shared" si="481"/>
        <v>-3.1380688782991344</v>
      </c>
      <c r="J604">
        <f t="shared" si="482"/>
        <v>15</v>
      </c>
      <c r="M604">
        <f t="shared" si="483"/>
        <v>4.0911237908555076E-4</v>
      </c>
      <c r="N604">
        <f t="shared" si="484"/>
        <v>-1.5707963250000001</v>
      </c>
      <c r="O604">
        <f t="shared" si="485"/>
        <v>220.54207118278089</v>
      </c>
      <c r="P604">
        <f t="shared" si="486"/>
        <v>1.5662620290017912</v>
      </c>
      <c r="Q604">
        <f t="shared" si="487"/>
        <v>232.05413647999771</v>
      </c>
      <c r="R604">
        <f t="shared" si="488"/>
        <v>1.5664869742004448</v>
      </c>
      <c r="S604">
        <f t="shared" si="489"/>
        <v>0.89969431270179234</v>
      </c>
      <c r="T604">
        <f t="shared" si="490"/>
        <v>-0.45172759961119735</v>
      </c>
      <c r="U604">
        <f t="shared" si="491"/>
        <v>8.5834297293758521E-2</v>
      </c>
      <c r="V604">
        <f t="shared" si="492"/>
        <v>-1.4848562807820482</v>
      </c>
      <c r="X604">
        <f t="shared" si="509"/>
        <v>-56.991595485364385</v>
      </c>
      <c r="Y604">
        <f t="shared" si="493"/>
        <v>-150.48349738564559</v>
      </c>
      <c r="Z604">
        <f t="shared" si="510"/>
        <v>29.516502614354408</v>
      </c>
      <c r="AC604">
        <v>1</v>
      </c>
      <c r="AD604">
        <f t="shared" si="494"/>
        <v>220.53980403000003</v>
      </c>
      <c r="AE604">
        <f t="shared" si="495"/>
        <v>-2.7021002867550452</v>
      </c>
      <c r="AF604">
        <f t="shared" si="496"/>
        <v>0.23279201536500002</v>
      </c>
      <c r="AG604">
        <f t="shared" si="473"/>
        <v>6.6124061378945038</v>
      </c>
      <c r="AH604">
        <f t="shared" si="474"/>
        <v>-81.04824597082056</v>
      </c>
      <c r="AJ604">
        <f t="shared" si="497"/>
        <v>10500</v>
      </c>
      <c r="AK604">
        <f t="shared" si="498"/>
        <v>5094.4694730930005</v>
      </c>
      <c r="AL604">
        <v>1</v>
      </c>
      <c r="AM604">
        <f t="shared" si="499"/>
        <v>232.05198180036601</v>
      </c>
      <c r="AN604">
        <f t="shared" si="475"/>
        <v>22.148582696481803</v>
      </c>
      <c r="AO604">
        <f t="shared" si="476"/>
        <v>-45.153035694897014</v>
      </c>
      <c r="AQ604">
        <f t="shared" si="500"/>
        <v>6.5746215269808328E-4</v>
      </c>
      <c r="AR604">
        <f t="shared" si="501"/>
        <v>-2.5641023955225251</v>
      </c>
      <c r="AT604">
        <f t="shared" si="523"/>
        <v>-207.81165423990589</v>
      </c>
      <c r="AU604">
        <f t="shared" si="524"/>
        <v>-17.008172572611528</v>
      </c>
      <c r="AV604">
        <f t="shared" si="511"/>
        <v>-3.059930495119259</v>
      </c>
      <c r="AW604">
        <f t="shared" si="512"/>
        <v>-88.758015760745053</v>
      </c>
      <c r="AX604">
        <f t="shared" si="513"/>
        <v>-184.06903902157563</v>
      </c>
      <c r="AY604">
        <f t="shared" si="521"/>
        <v>-2.0201024732313537</v>
      </c>
      <c r="BA604">
        <f t="shared" si="502"/>
        <v>1.0203343241727321</v>
      </c>
      <c r="BB604">
        <f t="shared" si="514"/>
        <v>0.1748499323631347</v>
      </c>
      <c r="BC604">
        <f t="shared" si="515"/>
        <v>-1.0398280218879052</v>
      </c>
      <c r="BD604">
        <f t="shared" si="503"/>
        <v>-239.57775714169148</v>
      </c>
      <c r="BF604">
        <f t="shared" si="504"/>
        <v>-60.990329855482841</v>
      </c>
      <c r="BG604">
        <f t="shared" si="505"/>
        <v>-188.59646774335292</v>
      </c>
      <c r="BH604">
        <f t="shared" si="516"/>
        <v>-8.5964677433529175</v>
      </c>
      <c r="BI604">
        <f t="shared" si="517"/>
        <v>-8.5964677433529175</v>
      </c>
      <c r="BJ604">
        <f t="shared" si="506"/>
        <v>0</v>
      </c>
      <c r="BK604">
        <f t="shared" si="518"/>
        <v>0</v>
      </c>
      <c r="BM604">
        <f t="shared" si="519"/>
        <v>-61.165179787845972</v>
      </c>
      <c r="BN604">
        <f t="shared" si="507"/>
        <v>-129.01871060166147</v>
      </c>
      <c r="BQ604" s="56">
        <f t="shared" si="520"/>
        <v>17.076810732648269</v>
      </c>
    </row>
    <row r="605" spans="1:69" x14ac:dyDescent="0.2">
      <c r="A605">
        <f t="shared" si="525"/>
        <v>1955000</v>
      </c>
      <c r="B605">
        <f t="shared" si="508"/>
        <v>1955</v>
      </c>
      <c r="C605">
        <f t="shared" si="477"/>
        <v>1.5839428610258199</v>
      </c>
      <c r="D605">
        <f t="shared" si="478"/>
        <v>0.88752170434420452</v>
      </c>
      <c r="F605">
        <f t="shared" si="479"/>
        <v>3.6673642850973997E-5</v>
      </c>
      <c r="G605">
        <f t="shared" si="480"/>
        <v>3.5147588962395251E-3</v>
      </c>
      <c r="H605">
        <f t="shared" si="481"/>
        <v>-3.1380778911037606</v>
      </c>
      <c r="J605">
        <f t="shared" si="482"/>
        <v>15</v>
      </c>
      <c r="M605">
        <f t="shared" si="483"/>
        <v>4.0806605586538313E-4</v>
      </c>
      <c r="N605">
        <f t="shared" si="484"/>
        <v>-1.5707963250000001</v>
      </c>
      <c r="O605">
        <f t="shared" si="485"/>
        <v>221.10755206149557</v>
      </c>
      <c r="P605">
        <f t="shared" si="486"/>
        <v>1.5662736255129981</v>
      </c>
      <c r="Q605">
        <f t="shared" si="487"/>
        <v>232.64913605089848</v>
      </c>
      <c r="R605">
        <f t="shared" si="488"/>
        <v>1.5664979954266542</v>
      </c>
      <c r="S605">
        <f t="shared" si="489"/>
        <v>0.89925449011681768</v>
      </c>
      <c r="T605">
        <f t="shared" si="490"/>
        <v>-0.4527341203358326</v>
      </c>
      <c r="U605">
        <f t="shared" si="491"/>
        <v>8.5616383439514013E-2</v>
      </c>
      <c r="V605">
        <f t="shared" si="492"/>
        <v>-1.485074999783502</v>
      </c>
      <c r="X605">
        <f t="shared" si="509"/>
        <v>-57.026803885460787</v>
      </c>
      <c r="Y605">
        <f t="shared" si="493"/>
        <v>-150.48106315408612</v>
      </c>
      <c r="Z605">
        <f t="shared" si="510"/>
        <v>29.518936845913885</v>
      </c>
      <c r="AC605">
        <v>1</v>
      </c>
      <c r="AD605">
        <f t="shared" si="494"/>
        <v>221.10529070699999</v>
      </c>
      <c r="AE605">
        <f t="shared" si="495"/>
        <v>-2.7159749765903882</v>
      </c>
      <c r="AF605">
        <f t="shared" si="496"/>
        <v>0.2333889179685</v>
      </c>
      <c r="AG605">
        <f t="shared" si="473"/>
        <v>6.5788739520688413</v>
      </c>
      <c r="AH605">
        <f t="shared" si="474"/>
        <v>-80.843842939054483</v>
      </c>
      <c r="AJ605">
        <f t="shared" si="497"/>
        <v>10500</v>
      </c>
      <c r="AK605">
        <f t="shared" si="498"/>
        <v>5107.5322153317002</v>
      </c>
      <c r="AL605">
        <v>1</v>
      </c>
      <c r="AM605">
        <f t="shared" si="499"/>
        <v>232.64698688190543</v>
      </c>
      <c r="AN605">
        <f t="shared" si="475"/>
        <v>22.14758868553503</v>
      </c>
      <c r="AO605">
        <f t="shared" si="476"/>
        <v>-45.037559057806128</v>
      </c>
      <c r="AQ605">
        <f t="shared" si="500"/>
        <v>6.5410347563768707E-4</v>
      </c>
      <c r="AR605">
        <f t="shared" si="501"/>
        <v>-2.5575445897433564</v>
      </c>
      <c r="AT605">
        <f t="shared" si="523"/>
        <v>-206.75742985852261</v>
      </c>
      <c r="AU605">
        <f t="shared" si="524"/>
        <v>-16.878643721367499</v>
      </c>
      <c r="AV605">
        <f t="shared" si="511"/>
        <v>-3.0601382733901699</v>
      </c>
      <c r="AW605">
        <f t="shared" si="512"/>
        <v>-88.192267629460517</v>
      </c>
      <c r="AX605">
        <f t="shared" si="513"/>
        <v>-183.59770314198704</v>
      </c>
      <c r="AY605">
        <f t="shared" si="521"/>
        <v>-2.0186056398970571</v>
      </c>
      <c r="BA605">
        <f t="shared" si="502"/>
        <v>1.018480479969166</v>
      </c>
      <c r="BB605">
        <f t="shared" si="514"/>
        <v>0.1590541959742055</v>
      </c>
      <c r="BC605">
        <f t="shared" si="515"/>
        <v>-1.0415326334931128</v>
      </c>
      <c r="BD605">
        <f t="shared" si="503"/>
        <v>-239.67542419249048</v>
      </c>
      <c r="BF605">
        <f t="shared" si="504"/>
        <v>-61.037249380756393</v>
      </c>
      <c r="BG605">
        <f t="shared" si="505"/>
        <v>-188.62279539821316</v>
      </c>
      <c r="BH605">
        <f t="shared" si="516"/>
        <v>-8.6227953982131567</v>
      </c>
      <c r="BI605">
        <f t="shared" si="517"/>
        <v>-8.6227953982131567</v>
      </c>
      <c r="BJ605">
        <f t="shared" si="506"/>
        <v>0</v>
      </c>
      <c r="BK605">
        <f t="shared" si="518"/>
        <v>0</v>
      </c>
      <c r="BM605">
        <f t="shared" si="519"/>
        <v>-61.196303576730593</v>
      </c>
      <c r="BN605">
        <f t="shared" si="507"/>
        <v>-128.94737120572267</v>
      </c>
      <c r="BQ605" s="56">
        <f t="shared" si="520"/>
        <v>17.061014996259342</v>
      </c>
    </row>
    <row r="606" spans="1:69" x14ac:dyDescent="0.2">
      <c r="A606">
        <f t="shared" si="525"/>
        <v>1960000</v>
      </c>
      <c r="B606">
        <f t="shared" si="508"/>
        <v>1960</v>
      </c>
      <c r="C606">
        <f t="shared" si="477"/>
        <v>1.5863804358422515</v>
      </c>
      <c r="D606">
        <f t="shared" si="478"/>
        <v>0.88877197238298933</v>
      </c>
      <c r="F606">
        <f t="shared" si="479"/>
        <v>3.648676528322188E-5</v>
      </c>
      <c r="G606">
        <f t="shared" si="480"/>
        <v>3.5057920798908103E-3</v>
      </c>
      <c r="H606">
        <f t="shared" si="481"/>
        <v>-3.1380868579201096</v>
      </c>
      <c r="J606">
        <f t="shared" si="482"/>
        <v>15</v>
      </c>
      <c r="M606">
        <f t="shared" si="483"/>
        <v>4.0702507102899187E-4</v>
      </c>
      <c r="N606">
        <f t="shared" si="484"/>
        <v>-1.5707963250000001</v>
      </c>
      <c r="O606">
        <f t="shared" si="485"/>
        <v>221.6730329697929</v>
      </c>
      <c r="P606">
        <f t="shared" si="486"/>
        <v>1.5662851628595387</v>
      </c>
      <c r="Q606">
        <f t="shared" si="487"/>
        <v>233.24413564991434</v>
      </c>
      <c r="R606">
        <f t="shared" si="488"/>
        <v>1.5665089604231539</v>
      </c>
      <c r="S606">
        <f t="shared" si="489"/>
        <v>0.89881418810375968</v>
      </c>
      <c r="T606">
        <f t="shared" si="490"/>
        <v>-0.45373965643276226</v>
      </c>
      <c r="U606">
        <f t="shared" si="491"/>
        <v>8.5399569196863381E-2</v>
      </c>
      <c r="V606">
        <f t="shared" si="492"/>
        <v>-1.4852926110308322</v>
      </c>
      <c r="X606">
        <f t="shared" si="509"/>
        <v>-57.061913523115059</v>
      </c>
      <c r="Y606">
        <f t="shared" si="493"/>
        <v>-150.47873372419681</v>
      </c>
      <c r="Z606">
        <f t="shared" si="510"/>
        <v>29.521266275803185</v>
      </c>
      <c r="AC606">
        <v>1</v>
      </c>
      <c r="AD606">
        <f t="shared" si="494"/>
        <v>221.67077738400002</v>
      </c>
      <c r="AE606">
        <f t="shared" si="495"/>
        <v>-2.7298851970014941</v>
      </c>
      <c r="AF606">
        <f t="shared" si="496"/>
        <v>0.23398582057199999</v>
      </c>
      <c r="AG606">
        <f t="shared" si="473"/>
        <v>6.5455955671999781</v>
      </c>
      <c r="AH606">
        <f t="shared" si="474"/>
        <v>-80.640461025935153</v>
      </c>
      <c r="AJ606">
        <f t="shared" si="497"/>
        <v>10500</v>
      </c>
      <c r="AK606">
        <f t="shared" si="498"/>
        <v>5120.5949575704008</v>
      </c>
      <c r="AL606">
        <v>1</v>
      </c>
      <c r="AM606">
        <f t="shared" si="499"/>
        <v>233.24199196344483</v>
      </c>
      <c r="AN606">
        <f t="shared" si="475"/>
        <v>22.146602271921221</v>
      </c>
      <c r="AO606">
        <f t="shared" si="476"/>
        <v>-44.92267155465828</v>
      </c>
      <c r="AQ606">
        <f t="shared" si="500"/>
        <v>6.5077046993632407E-4</v>
      </c>
      <c r="AR606">
        <f t="shared" si="501"/>
        <v>-2.5510202421503902</v>
      </c>
      <c r="AT606">
        <f t="shared" si="523"/>
        <v>-205.71118873319693</v>
      </c>
      <c r="AU606">
        <f t="shared" si="524"/>
        <v>-16.750425219574741</v>
      </c>
      <c r="AV606">
        <f t="shared" si="511"/>
        <v>-3.0603449997258041</v>
      </c>
      <c r="AW606">
        <f t="shared" si="512"/>
        <v>-87.630845395029965</v>
      </c>
      <c r="AX606">
        <f t="shared" si="513"/>
        <v>-183.12877654777705</v>
      </c>
      <c r="AY606">
        <f t="shared" si="521"/>
        <v>-2.017113027769633</v>
      </c>
      <c r="BA606">
        <f t="shared" si="502"/>
        <v>1.0166316268435853</v>
      </c>
      <c r="BB606">
        <f t="shared" si="514"/>
        <v>0.14327232472494375</v>
      </c>
      <c r="BC606">
        <f t="shared" si="515"/>
        <v>-1.0432319719561711</v>
      </c>
      <c r="BD606">
        <f t="shared" si="503"/>
        <v>-239.77278911449923</v>
      </c>
      <c r="BF606">
        <f t="shared" si="504"/>
        <v>-61.084048330931864</v>
      </c>
      <c r="BG606">
        <f t="shared" si="505"/>
        <v>-188.64903899899065</v>
      </c>
      <c r="BH606">
        <f t="shared" si="516"/>
        <v>-8.6490389989906475</v>
      </c>
      <c r="BI606">
        <f t="shared" si="517"/>
        <v>-8.6490389989906475</v>
      </c>
      <c r="BJ606">
        <f t="shared" si="506"/>
        <v>0</v>
      </c>
      <c r="BK606">
        <f t="shared" si="518"/>
        <v>0</v>
      </c>
      <c r="BM606">
        <f t="shared" si="519"/>
        <v>-61.227320655656811</v>
      </c>
      <c r="BN606">
        <f t="shared" si="507"/>
        <v>-128.87624988449141</v>
      </c>
      <c r="BQ606" s="56">
        <f t="shared" si="520"/>
        <v>17.045233125010078</v>
      </c>
    </row>
    <row r="607" spans="1:69" x14ac:dyDescent="0.2">
      <c r="A607">
        <f t="shared" si="525"/>
        <v>1965000</v>
      </c>
      <c r="B607">
        <f t="shared" si="508"/>
        <v>1965</v>
      </c>
      <c r="C607">
        <f t="shared" si="477"/>
        <v>1.588820482830015</v>
      </c>
      <c r="D607">
        <f t="shared" si="478"/>
        <v>0.89001840214181993</v>
      </c>
      <c r="F607">
        <f t="shared" si="479"/>
        <v>3.6301312504869818E-5</v>
      </c>
      <c r="G607">
        <f t="shared" si="480"/>
        <v>3.4968709007176298E-3</v>
      </c>
      <c r="H607">
        <f t="shared" si="481"/>
        <v>-3.1380957790992827</v>
      </c>
      <c r="J607">
        <f t="shared" si="482"/>
        <v>15</v>
      </c>
      <c r="M607">
        <f t="shared" si="483"/>
        <v>4.0598938382535571E-4</v>
      </c>
      <c r="N607">
        <f t="shared" si="484"/>
        <v>-1.5707963250000001</v>
      </c>
      <c r="O607">
        <f t="shared" si="485"/>
        <v>222.23851390744699</v>
      </c>
      <c r="P607">
        <f t="shared" si="486"/>
        <v>1.5662966414930393</v>
      </c>
      <c r="Q607">
        <f t="shared" si="487"/>
        <v>233.83913527683075</v>
      </c>
      <c r="R607">
        <f t="shared" si="488"/>
        <v>1.5665198696191678</v>
      </c>
      <c r="S607">
        <f t="shared" si="489"/>
        <v>0.89837341003567794</v>
      </c>
      <c r="T607">
        <f t="shared" si="490"/>
        <v>-0.45474420731567988</v>
      </c>
      <c r="U607">
        <f t="shared" si="491"/>
        <v>8.5183846294337034E-2</v>
      </c>
      <c r="V607">
        <f t="shared" si="492"/>
        <v>-1.4855091228980513</v>
      </c>
      <c r="X607">
        <f t="shared" si="509"/>
        <v>-57.096925003286422</v>
      </c>
      <c r="Y607">
        <f t="shared" si="493"/>
        <v>-150.47650871942852</v>
      </c>
      <c r="Z607">
        <f t="shared" si="510"/>
        <v>29.523491280571477</v>
      </c>
      <c r="AC607">
        <v>1</v>
      </c>
      <c r="AD607">
        <f t="shared" si="494"/>
        <v>222.23626406099999</v>
      </c>
      <c r="AE607">
        <f t="shared" si="495"/>
        <v>-2.7438309479883634</v>
      </c>
      <c r="AF607">
        <f t="shared" si="496"/>
        <v>0.23458272317549997</v>
      </c>
      <c r="AG607">
        <f t="shared" si="473"/>
        <v>6.5125684346734118</v>
      </c>
      <c r="AH607">
        <f t="shared" si="474"/>
        <v>-80.438092654556471</v>
      </c>
      <c r="AJ607">
        <f t="shared" si="497"/>
        <v>10500</v>
      </c>
      <c r="AK607">
        <f t="shared" si="498"/>
        <v>5133.6576998091004</v>
      </c>
      <c r="AL607">
        <v>1</v>
      </c>
      <c r="AM607">
        <f t="shared" si="499"/>
        <v>233.83699704498423</v>
      </c>
      <c r="AN607">
        <f t="shared" si="475"/>
        <v>22.145623378414641</v>
      </c>
      <c r="AO607">
        <f t="shared" si="476"/>
        <v>-44.808368688578035</v>
      </c>
      <c r="AQ607">
        <f t="shared" si="500"/>
        <v>6.4746287464063381E-4</v>
      </c>
      <c r="AR607">
        <f t="shared" si="501"/>
        <v>-2.5445290973376911</v>
      </c>
      <c r="AT607">
        <f t="shared" si="523"/>
        <v>-204.67285064758411</v>
      </c>
      <c r="AU607">
        <f t="shared" si="524"/>
        <v>-16.623500559130207</v>
      </c>
      <c r="AV607">
        <f t="shared" si="511"/>
        <v>-3.060550682074088</v>
      </c>
      <c r="AW607">
        <f t="shared" si="512"/>
        <v>-87.07370506250605</v>
      </c>
      <c r="AX607">
        <f t="shared" si="513"/>
        <v>-182.66224079975959</v>
      </c>
      <c r="AY607">
        <f t="shared" si="521"/>
        <v>-2.0156246175960346</v>
      </c>
      <c r="BA607">
        <f t="shared" si="502"/>
        <v>1.0147877546271011</v>
      </c>
      <c r="BB607">
        <f t="shared" si="514"/>
        <v>0.12750435960313977</v>
      </c>
      <c r="BC607">
        <f t="shared" si="515"/>
        <v>-1.0449260644780534</v>
      </c>
      <c r="BD607">
        <f t="shared" si="503"/>
        <v>-239.86985346621867</v>
      </c>
      <c r="BF607">
        <f t="shared" si="504"/>
        <v>-61.130727306241177</v>
      </c>
      <c r="BG607">
        <f t="shared" si="505"/>
        <v>-188.67519933190346</v>
      </c>
      <c r="BH607">
        <f t="shared" si="516"/>
        <v>-8.6751993319034568</v>
      </c>
      <c r="BI607">
        <f t="shared" si="517"/>
        <v>-8.6751993319034568</v>
      </c>
      <c r="BJ607">
        <f t="shared" si="506"/>
        <v>0</v>
      </c>
      <c r="BK607">
        <f t="shared" si="518"/>
        <v>0</v>
      </c>
      <c r="BM607">
        <f t="shared" si="519"/>
        <v>-61.258231665844313</v>
      </c>
      <c r="BN607">
        <f t="shared" si="507"/>
        <v>-128.80534586568481</v>
      </c>
      <c r="BQ607" s="56">
        <f t="shared" si="520"/>
        <v>17.029465159888275</v>
      </c>
    </row>
    <row r="608" spans="1:69" x14ac:dyDescent="0.2">
      <c r="A608">
        <f t="shared" si="525"/>
        <v>1970000</v>
      </c>
      <c r="B608">
        <f t="shared" si="508"/>
        <v>1970</v>
      </c>
      <c r="C608">
        <f t="shared" si="477"/>
        <v>1.5912629906166069</v>
      </c>
      <c r="D608">
        <f t="shared" si="478"/>
        <v>0.89126100741359671</v>
      </c>
      <c r="F608">
        <f t="shared" si="479"/>
        <v>3.6117270068680439E-5</v>
      </c>
      <c r="G608">
        <f t="shared" si="480"/>
        <v>3.4879950111830608E-3</v>
      </c>
      <c r="H608">
        <f t="shared" si="481"/>
        <v>-3.1381046549888172</v>
      </c>
      <c r="J608">
        <f t="shared" si="482"/>
        <v>15</v>
      </c>
      <c r="M608">
        <f t="shared" si="483"/>
        <v>4.0495895391716956E-4</v>
      </c>
      <c r="N608">
        <f t="shared" si="484"/>
        <v>-1.5707963250000001</v>
      </c>
      <c r="O608">
        <f t="shared" si="485"/>
        <v>222.80399487423441</v>
      </c>
      <c r="P608">
        <f t="shared" si="486"/>
        <v>1.5663080618605416</v>
      </c>
      <c r="Q608">
        <f t="shared" si="487"/>
        <v>234.43413493143521</v>
      </c>
      <c r="R608">
        <f t="shared" si="488"/>
        <v>1.5665307234395622</v>
      </c>
      <c r="S608">
        <f t="shared" si="489"/>
        <v>0.89793215927942704</v>
      </c>
      <c r="T608">
        <f t="shared" si="490"/>
        <v>-0.45574777240738101</v>
      </c>
      <c r="U608">
        <f t="shared" si="491"/>
        <v>8.4969206542907738E-2</v>
      </c>
      <c r="V608">
        <f t="shared" si="492"/>
        <v>-1.4857245436751849</v>
      </c>
      <c r="X608">
        <f t="shared" si="509"/>
        <v>-57.131838925961318</v>
      </c>
      <c r="Y608">
        <f t="shared" si="493"/>
        <v>-150.47438776137406</v>
      </c>
      <c r="Z608">
        <f t="shared" si="510"/>
        <v>29.525612238625939</v>
      </c>
      <c r="AC608">
        <v>1</v>
      </c>
      <c r="AD608">
        <f t="shared" si="494"/>
        <v>222.80175073800001</v>
      </c>
      <c r="AE608">
        <f t="shared" si="495"/>
        <v>-2.7578122295509946</v>
      </c>
      <c r="AF608">
        <f t="shared" si="496"/>
        <v>0.23517962577900001</v>
      </c>
      <c r="AG608">
        <f t="shared" si="473"/>
        <v>6.4797900377067696</v>
      </c>
      <c r="AH608">
        <f t="shared" si="474"/>
        <v>-80.236730322220794</v>
      </c>
      <c r="AJ608">
        <f t="shared" si="497"/>
        <v>10500</v>
      </c>
      <c r="AK608">
        <f t="shared" si="498"/>
        <v>5146.720442047801</v>
      </c>
      <c r="AL608">
        <v>1</v>
      </c>
      <c r="AM608">
        <f t="shared" si="499"/>
        <v>234.4320021265236</v>
      </c>
      <c r="AN608">
        <f t="shared" si="475"/>
        <v>22.144651928768322</v>
      </c>
      <c r="AO608">
        <f t="shared" si="476"/>
        <v>-44.694646008339355</v>
      </c>
      <c r="AQ608">
        <f t="shared" si="500"/>
        <v>6.4418043210463858E-4</v>
      </c>
      <c r="AR608">
        <f t="shared" si="501"/>
        <v>-2.5380709024922763</v>
      </c>
      <c r="AT608">
        <f t="shared" si="523"/>
        <v>-203.64233638800187</v>
      </c>
      <c r="AU608">
        <f t="shared" si="524"/>
        <v>-16.497853480572513</v>
      </c>
      <c r="AV608">
        <f t="shared" si="511"/>
        <v>-3.0607553283032876</v>
      </c>
      <c r="AW608">
        <f t="shared" si="512"/>
        <v>-86.520803194866161</v>
      </c>
      <c r="AX608">
        <f t="shared" si="513"/>
        <v>-182.19807764658077</v>
      </c>
      <c r="AY608">
        <f t="shared" si="521"/>
        <v>-2.0141403902157009</v>
      </c>
      <c r="BA608">
        <f t="shared" si="502"/>
        <v>1.0129488530617767</v>
      </c>
      <c r="BB608">
        <f t="shared" si="514"/>
        <v>0.11175034069376873</v>
      </c>
      <c r="BC608">
        <f t="shared" si="515"/>
        <v>-1.0466149380875867</v>
      </c>
      <c r="BD608">
        <f t="shared" si="503"/>
        <v>-239.96661879628653</v>
      </c>
      <c r="BF608">
        <f t="shared" si="504"/>
        <v>-61.17728690266933</v>
      </c>
      <c r="BG608">
        <f t="shared" si="505"/>
        <v>-188.70127717522678</v>
      </c>
      <c r="BH608">
        <f t="shared" si="516"/>
        <v>-8.7012771752267781</v>
      </c>
      <c r="BI608">
        <f t="shared" si="517"/>
        <v>-8.7012771752267781</v>
      </c>
      <c r="BJ608">
        <f t="shared" si="506"/>
        <v>0</v>
      </c>
      <c r="BK608">
        <f t="shared" si="518"/>
        <v>0</v>
      </c>
      <c r="BM608">
        <f t="shared" si="519"/>
        <v>-61.289037243363104</v>
      </c>
      <c r="BN608">
        <f t="shared" si="507"/>
        <v>-128.73465837894025</v>
      </c>
      <c r="BQ608" s="56">
        <f t="shared" si="520"/>
        <v>17.013711140978906</v>
      </c>
    </row>
    <row r="609" spans="1:69" x14ac:dyDescent="0.2">
      <c r="A609">
        <f t="shared" si="525"/>
        <v>1975000</v>
      </c>
      <c r="B609">
        <f t="shared" si="508"/>
        <v>1975</v>
      </c>
      <c r="C609">
        <f t="shared" si="477"/>
        <v>1.5937079478878089</v>
      </c>
      <c r="D609">
        <f t="shared" si="478"/>
        <v>0.89249980195394929</v>
      </c>
      <c r="F609">
        <f t="shared" si="479"/>
        <v>3.5934623710072222E-5</v>
      </c>
      <c r="G609">
        <f t="shared" si="480"/>
        <v>3.4791640672701156E-3</v>
      </c>
      <c r="H609">
        <f t="shared" si="481"/>
        <v>-3.1381134859327302</v>
      </c>
      <c r="J609">
        <f t="shared" si="482"/>
        <v>15</v>
      </c>
      <c r="M609">
        <f t="shared" si="483"/>
        <v>4.0393374137560716E-4</v>
      </c>
      <c r="N609">
        <f t="shared" si="484"/>
        <v>-1.5707963250000001</v>
      </c>
      <c r="O609">
        <f t="shared" si="485"/>
        <v>223.36947586993386</v>
      </c>
      <c r="P609">
        <f t="shared" si="486"/>
        <v>1.5663194244045602</v>
      </c>
      <c r="Q609">
        <f t="shared" si="487"/>
        <v>235.02913461351741</v>
      </c>
      <c r="R609">
        <f t="shared" si="488"/>
        <v>1.5665415223049015</v>
      </c>
      <c r="S609">
        <f t="shared" si="489"/>
        <v>0.89749043919561677</v>
      </c>
      <c r="T609">
        <f t="shared" si="490"/>
        <v>-0.45675035113973628</v>
      </c>
      <c r="U609">
        <f t="shared" si="491"/>
        <v>8.4755641834969961E-2</v>
      </c>
      <c r="V609">
        <f t="shared" si="492"/>
        <v>-1.4859388815693211</v>
      </c>
      <c r="X609">
        <f t="shared" si="509"/>
        <v>-57.166655886202236</v>
      </c>
      <c r="Y609">
        <f t="shared" si="493"/>
        <v>-150.47237046983403</v>
      </c>
      <c r="Z609">
        <f t="shared" si="510"/>
        <v>29.527629530165967</v>
      </c>
      <c r="AC609">
        <v>1</v>
      </c>
      <c r="AD609">
        <f t="shared" si="494"/>
        <v>223.36723741500003</v>
      </c>
      <c r="AE609">
        <f t="shared" si="495"/>
        <v>-2.7718290416893887</v>
      </c>
      <c r="AF609">
        <f t="shared" si="496"/>
        <v>0.23577652838249999</v>
      </c>
      <c r="AG609">
        <f t="shared" si="473"/>
        <v>6.447257890875056</v>
      </c>
      <c r="AH609">
        <f t="shared" si="474"/>
        <v>-80.036366599539733</v>
      </c>
      <c r="AJ609">
        <f t="shared" si="497"/>
        <v>10500</v>
      </c>
      <c r="AK609">
        <f t="shared" si="498"/>
        <v>5159.7831842865007</v>
      </c>
      <c r="AL609">
        <v>1</v>
      </c>
      <c r="AM609">
        <f t="shared" si="499"/>
        <v>235.027007208063</v>
      </c>
      <c r="AN609">
        <f t="shared" si="475"/>
        <v>22.143687847699169</v>
      </c>
      <c r="AO609">
        <f t="shared" si="476"/>
        <v>-44.58149910778782</v>
      </c>
      <c r="AQ609">
        <f t="shared" si="500"/>
        <v>6.4092288793956816E-4</v>
      </c>
      <c r="AR609">
        <f t="shared" si="501"/>
        <v>-2.5316454073612942</v>
      </c>
      <c r="AT609">
        <f t="shared" si="523"/>
        <v>-202.61956772846293</v>
      </c>
      <c r="AU609">
        <f t="shared" si="524"/>
        <v>-16.373467968728864</v>
      </c>
      <c r="AV609">
        <f t="shared" si="511"/>
        <v>-3.0609589462030007</v>
      </c>
      <c r="AW609">
        <f t="shared" si="512"/>
        <v>-85.97209690454288</v>
      </c>
      <c r="AX609">
        <f t="shared" si="513"/>
        <v>-181.73626902233107</v>
      </c>
      <c r="AY609">
        <f t="shared" si="521"/>
        <v>-2.0126603265602876</v>
      </c>
      <c r="BA609">
        <f t="shared" si="502"/>
        <v>1.011114911802973</v>
      </c>
      <c r="BB609">
        <f t="shared" si="514"/>
        <v>9.6010307190554173E-2</v>
      </c>
      <c r="BC609">
        <f t="shared" si="515"/>
        <v>-1.0482986196427131</v>
      </c>
      <c r="BD609">
        <f t="shared" si="503"/>
        <v>-240.06308664354952</v>
      </c>
      <c r="BF609">
        <f t="shared" si="504"/>
        <v>-61.223727711993838</v>
      </c>
      <c r="BG609">
        <f t="shared" si="505"/>
        <v>-188.72727329937854</v>
      </c>
      <c r="BH609">
        <f t="shared" si="516"/>
        <v>-8.7272732993785382</v>
      </c>
      <c r="BI609">
        <f t="shared" si="517"/>
        <v>-8.7272732993785382</v>
      </c>
      <c r="BJ609">
        <f t="shared" si="506"/>
        <v>0</v>
      </c>
      <c r="BK609">
        <f t="shared" si="518"/>
        <v>0</v>
      </c>
      <c r="BM609">
        <f t="shared" si="519"/>
        <v>-61.319738019184385</v>
      </c>
      <c r="BN609">
        <f t="shared" si="507"/>
        <v>-128.66418665582901</v>
      </c>
      <c r="BQ609" s="56">
        <f t="shared" si="520"/>
        <v>16.997971107475692</v>
      </c>
    </row>
    <row r="610" spans="1:69" x14ac:dyDescent="0.2">
      <c r="A610">
        <f t="shared" si="525"/>
        <v>1980000</v>
      </c>
      <c r="B610">
        <f t="shared" si="508"/>
        <v>1980</v>
      </c>
      <c r="C610">
        <f t="shared" si="477"/>
        <v>1.5961553433874132</v>
      </c>
      <c r="D610">
        <f t="shared" si="478"/>
        <v>0.89373479948105183</v>
      </c>
      <c r="F610">
        <f t="shared" si="479"/>
        <v>3.5753359344355299E-5</v>
      </c>
      <c r="G610">
        <f t="shared" si="480"/>
        <v>3.4703777284372955E-3</v>
      </c>
      <c r="H610">
        <f t="shared" si="481"/>
        <v>-3.1381222722715627</v>
      </c>
      <c r="J610">
        <f t="shared" si="482"/>
        <v>15</v>
      </c>
      <c r="M610">
        <f t="shared" si="483"/>
        <v>4.0291370667516361E-4</v>
      </c>
      <c r="N610">
        <f t="shared" si="484"/>
        <v>-1.5707963250000001</v>
      </c>
      <c r="O610">
        <f t="shared" si="485"/>
        <v>223.93495689432632</v>
      </c>
      <c r="P610">
        <f t="shared" si="486"/>
        <v>1.5663307295631401</v>
      </c>
      <c r="Q610">
        <f t="shared" si="487"/>
        <v>235.62413432286928</v>
      </c>
      <c r="R610">
        <f t="shared" si="488"/>
        <v>1.5665522666315017</v>
      </c>
      <c r="S610">
        <f t="shared" si="489"/>
        <v>0.8970482531385725</v>
      </c>
      <c r="T610">
        <f t="shared" si="490"/>
        <v>-0.45775194295366395</v>
      </c>
      <c r="U610">
        <f t="shared" si="491"/>
        <v>8.4543144143334151E-2</v>
      </c>
      <c r="V610">
        <f t="shared" si="492"/>
        <v>-1.4861521447056409</v>
      </c>
      <c r="X610">
        <f t="shared" si="509"/>
        <v>-57.201376474195897</v>
      </c>
      <c r="Y610">
        <f t="shared" si="493"/>
        <v>-150.47045646288078</v>
      </c>
      <c r="Z610">
        <f t="shared" si="510"/>
        <v>29.529543537119224</v>
      </c>
      <c r="AC610">
        <v>1</v>
      </c>
      <c r="AD610">
        <f t="shared" si="494"/>
        <v>223.93272409200003</v>
      </c>
      <c r="AE610">
        <f t="shared" si="495"/>
        <v>-2.7858813844035453</v>
      </c>
      <c r="AF610">
        <f t="shared" si="496"/>
        <v>0.23637343098599997</v>
      </c>
      <c r="AG610">
        <f t="shared" si="473"/>
        <v>6.4149695396441659</v>
      </c>
      <c r="AH610">
        <f t="shared" si="474"/>
        <v>-79.836994129548273</v>
      </c>
      <c r="AJ610">
        <f t="shared" si="497"/>
        <v>10500</v>
      </c>
      <c r="AK610">
        <f t="shared" si="498"/>
        <v>5172.8459265252004</v>
      </c>
      <c r="AL610">
        <v>1</v>
      </c>
      <c r="AM610">
        <f t="shared" si="499"/>
        <v>235.62201228960242</v>
      </c>
      <c r="AN610">
        <f t="shared" si="475"/>
        <v>22.142731060873395</v>
      </c>
      <c r="AO610">
        <f t="shared" si="476"/>
        <v>-44.468923625271557</v>
      </c>
      <c r="AQ610">
        <f t="shared" si="500"/>
        <v>6.3768999096457048E-4</v>
      </c>
      <c r="AR610">
        <f t="shared" si="501"/>
        <v>-2.5252523642196993</v>
      </c>
      <c r="AT610">
        <f t="shared" si="523"/>
        <v>-201.60446741596826</v>
      </c>
      <c r="AU610">
        <f t="shared" si="524"/>
        <v>-16.250328248448895</v>
      </c>
      <c r="AV610">
        <f t="shared" si="511"/>
        <v>-3.0611615434851367</v>
      </c>
      <c r="AW610">
        <f t="shared" si="512"/>
        <v>-85.427543845103585</v>
      </c>
      <c r="AX610">
        <f t="shared" si="513"/>
        <v>-181.27679704419415</v>
      </c>
      <c r="AY610">
        <f t="shared" si="521"/>
        <v>-2.0111844076533956</v>
      </c>
      <c r="BA610">
        <f t="shared" si="502"/>
        <v>1.009285920421656</v>
      </c>
      <c r="BB610">
        <f t="shared" si="514"/>
        <v>8.0284297407402616E-2</v>
      </c>
      <c r="BC610">
        <f t="shared" si="515"/>
        <v>-1.0499771358317411</v>
      </c>
      <c r="BD610">
        <f t="shared" si="503"/>
        <v>-240.15925853713509</v>
      </c>
      <c r="BF610">
        <f t="shared" si="504"/>
        <v>-61.27005032182349</v>
      </c>
      <c r="BG610">
        <f t="shared" si="505"/>
        <v>-188.75318846700424</v>
      </c>
      <c r="BH610">
        <f t="shared" si="516"/>
        <v>-8.7531884670042359</v>
      </c>
      <c r="BI610">
        <f t="shared" si="517"/>
        <v>-8.7531884670042359</v>
      </c>
      <c r="BJ610">
        <f t="shared" si="506"/>
        <v>0</v>
      </c>
      <c r="BK610">
        <f t="shared" si="518"/>
        <v>0</v>
      </c>
      <c r="BM610">
        <f t="shared" si="519"/>
        <v>-61.350334619230892</v>
      </c>
      <c r="BN610">
        <f t="shared" si="507"/>
        <v>-128.59392992986915</v>
      </c>
      <c r="BQ610" s="56">
        <f t="shared" si="520"/>
        <v>16.982245097692537</v>
      </c>
    </row>
    <row r="611" spans="1:69" x14ac:dyDescent="0.2">
      <c r="A611">
        <f t="shared" si="525"/>
        <v>1985000</v>
      </c>
      <c r="B611">
        <f t="shared" si="508"/>
        <v>1985</v>
      </c>
      <c r="C611">
        <f t="shared" si="477"/>
        <v>1.5986051659169531</v>
      </c>
      <c r="D611">
        <f t="shared" si="478"/>
        <v>0.89496601367544326</v>
      </c>
      <c r="F611">
        <f t="shared" si="479"/>
        <v>3.5573463064015911E-5</v>
      </c>
      <c r="G611">
        <f t="shared" si="480"/>
        <v>3.4616356575748043E-3</v>
      </c>
      <c r="H611">
        <f t="shared" si="481"/>
        <v>-3.1381310143424255</v>
      </c>
      <c r="J611">
        <f t="shared" si="482"/>
        <v>15</v>
      </c>
      <c r="M611">
        <f t="shared" si="483"/>
        <v>4.0189881068857636E-4</v>
      </c>
      <c r="N611">
        <f t="shared" si="484"/>
        <v>-1.5707963250000001</v>
      </c>
      <c r="O611">
        <f t="shared" si="485"/>
        <v>224.500437947195</v>
      </c>
      <c r="P611">
        <f t="shared" si="486"/>
        <v>1.5663419777699128</v>
      </c>
      <c r="Q611">
        <f t="shared" si="487"/>
        <v>236.21913405928467</v>
      </c>
      <c r="R611">
        <f t="shared" si="488"/>
        <v>1.5665629568314845</v>
      </c>
      <c r="S611">
        <f t="shared" si="489"/>
        <v>0.89660560445629656</v>
      </c>
      <c r="T611">
        <f t="shared" si="490"/>
        <v>-0.45875254729910309</v>
      </c>
      <c r="U611">
        <f t="shared" si="491"/>
        <v>8.4331705520236042E-2</v>
      </c>
      <c r="V611">
        <f t="shared" si="492"/>
        <v>-1.486364341128436</v>
      </c>
      <c r="X611">
        <f t="shared" si="509"/>
        <v>-57.23600127530095</v>
      </c>
      <c r="Y611">
        <f t="shared" si="493"/>
        <v>-150.46864535692185</v>
      </c>
      <c r="Z611">
        <f t="shared" si="510"/>
        <v>29.531354643078146</v>
      </c>
      <c r="AC611">
        <v>1</v>
      </c>
      <c r="AD611">
        <f t="shared" si="494"/>
        <v>224.49821076900005</v>
      </c>
      <c r="AE611">
        <f t="shared" si="495"/>
        <v>-2.7999692576934647</v>
      </c>
      <c r="AF611">
        <f t="shared" si="496"/>
        <v>0.23697033358950001</v>
      </c>
      <c r="AG611">
        <f t="shared" si="473"/>
        <v>6.3829225599124264</v>
      </c>
      <c r="AH611">
        <f t="shared" si="474"/>
        <v>-79.638605626831392</v>
      </c>
      <c r="AJ611">
        <f t="shared" si="497"/>
        <v>10500</v>
      </c>
      <c r="AK611">
        <f t="shared" si="498"/>
        <v>5185.908668763901</v>
      </c>
      <c r="AL611">
        <v>1</v>
      </c>
      <c r="AM611">
        <f t="shared" si="499"/>
        <v>236.21701737114182</v>
      </c>
      <c r="AN611">
        <f t="shared" si="475"/>
        <v>22.141781494892221</v>
      </c>
      <c r="AO611">
        <f t="shared" si="476"/>
        <v>-44.356915243080913</v>
      </c>
      <c r="AQ611">
        <f t="shared" si="500"/>
        <v>6.344814931582909E-4</v>
      </c>
      <c r="AR611">
        <f t="shared" si="501"/>
        <v>-2.5188915278384147</v>
      </c>
      <c r="AT611">
        <f t="shared" si="523"/>
        <v>-200.59695915605377</v>
      </c>
      <c r="AU611">
        <f t="shared" si="524"/>
        <v>-16.128418780423253</v>
      </c>
      <c r="AV611">
        <f t="shared" si="511"/>
        <v>-3.0613631277848778</v>
      </c>
      <c r="AW611">
        <f t="shared" si="512"/>
        <v>-84.88710220307749</v>
      </c>
      <c r="AX611">
        <f t="shared" si="513"/>
        <v>-180.81964401013121</v>
      </c>
      <c r="AY611">
        <f t="shared" si="521"/>
        <v>-2.0097126146102999</v>
      </c>
      <c r="BA611">
        <f t="shared" si="502"/>
        <v>1.0074618684066639</v>
      </c>
      <c r="BB611">
        <f t="shared" si="514"/>
        <v>6.457234878967727E-2</v>
      </c>
      <c r="BC611">
        <f t="shared" si="515"/>
        <v>-1.0516505131745779</v>
      </c>
      <c r="BD611">
        <f t="shared" si="503"/>
        <v>-240.25513599652203</v>
      </c>
      <c r="BF611">
        <f t="shared" si="504"/>
        <v>-61.316255315636809</v>
      </c>
      <c r="BG611">
        <f t="shared" si="505"/>
        <v>-188.77902343306053</v>
      </c>
      <c r="BH611">
        <f t="shared" si="516"/>
        <v>-8.7790234330605301</v>
      </c>
      <c r="BI611">
        <f t="shared" si="517"/>
        <v>-8.7790234330605301</v>
      </c>
      <c r="BJ611">
        <f t="shared" si="506"/>
        <v>0</v>
      </c>
      <c r="BK611">
        <f t="shared" si="518"/>
        <v>0</v>
      </c>
      <c r="BM611">
        <f t="shared" si="519"/>
        <v>-61.380827664426491</v>
      </c>
      <c r="BN611">
        <f t="shared" si="507"/>
        <v>-128.52388743653853</v>
      </c>
      <c r="BQ611" s="56">
        <f t="shared" si="520"/>
        <v>16.966533149074813</v>
      </c>
    </row>
    <row r="612" spans="1:69" x14ac:dyDescent="0.2">
      <c r="A612">
        <f t="shared" si="525"/>
        <v>1990000</v>
      </c>
      <c r="B612">
        <f t="shared" si="508"/>
        <v>1990</v>
      </c>
      <c r="C612">
        <f t="shared" si="477"/>
        <v>1.6010574043354295</v>
      </c>
      <c r="D612">
        <f t="shared" si="478"/>
        <v>0.8961934581798533</v>
      </c>
      <c r="F612">
        <f t="shared" si="479"/>
        <v>3.5394921136048602E-5</v>
      </c>
      <c r="G612">
        <f t="shared" si="480"/>
        <v>3.452937520961433E-3</v>
      </c>
      <c r="H612">
        <f t="shared" si="481"/>
        <v>-3.1381397124790387</v>
      </c>
      <c r="J612">
        <f t="shared" si="482"/>
        <v>15</v>
      </c>
      <c r="M612">
        <f t="shared" si="483"/>
        <v>4.0088901468182116E-4</v>
      </c>
      <c r="N612">
        <f t="shared" si="484"/>
        <v>-1.5707963250000001</v>
      </c>
      <c r="O612">
        <f t="shared" si="485"/>
        <v>225.06591902832517</v>
      </c>
      <c r="P612">
        <f t="shared" si="486"/>
        <v>1.5663531694541521</v>
      </c>
      <c r="Q612">
        <f t="shared" si="487"/>
        <v>236.81413382255963</v>
      </c>
      <c r="R612">
        <f t="shared" si="488"/>
        <v>1.5665735933128297</v>
      </c>
      <c r="S612">
        <f t="shared" si="489"/>
        <v>0.89616249649042889</v>
      </c>
      <c r="T612">
        <f t="shared" si="490"/>
        <v>-0.45975216363498594</v>
      </c>
      <c r="U612">
        <f t="shared" si="491"/>
        <v>8.4121318096360406E-2</v>
      </c>
      <c r="V612">
        <f t="shared" si="492"/>
        <v>-1.4865754788021102</v>
      </c>
      <c r="X612">
        <f t="shared" si="509"/>
        <v>-57.270530870095158</v>
      </c>
      <c r="Y612">
        <f t="shared" si="493"/>
        <v>-150.46693676676188</v>
      </c>
      <c r="Z612">
        <f t="shared" si="510"/>
        <v>29.533063233238124</v>
      </c>
      <c r="AC612">
        <v>1</v>
      </c>
      <c r="AD612">
        <f t="shared" si="494"/>
        <v>225.06369744600002</v>
      </c>
      <c r="AE612">
        <f t="shared" si="495"/>
        <v>-2.8140926615591471</v>
      </c>
      <c r="AF612">
        <f t="shared" si="496"/>
        <v>0.23756723619299999</v>
      </c>
      <c r="AG612">
        <f t="shared" si="473"/>
        <v>6.3511145575600301</v>
      </c>
      <c r="AH612">
        <f t="shared" si="474"/>
        <v>-79.441193876663192</v>
      </c>
      <c r="AJ612">
        <f t="shared" si="497"/>
        <v>10500</v>
      </c>
      <c r="AK612">
        <f t="shared" si="498"/>
        <v>5198.9714110026007</v>
      </c>
      <c r="AL612">
        <v>1</v>
      </c>
      <c r="AM612">
        <f t="shared" si="499"/>
        <v>236.81202245268122</v>
      </c>
      <c r="AN612">
        <f t="shared" si="475"/>
        <v>22.140839077277739</v>
      </c>
      <c r="AO612">
        <f t="shared" si="476"/>
        <v>-44.245469686896342</v>
      </c>
      <c r="AQ612">
        <f t="shared" si="500"/>
        <v>6.3129714961130084E-4</v>
      </c>
      <c r="AR612">
        <f t="shared" si="501"/>
        <v>-2.5125626554529776</v>
      </c>
      <c r="AT612">
        <f t="shared" si="523"/>
        <v>-199.59696759858664</v>
      </c>
      <c r="AU612">
        <f t="shared" si="524"/>
        <v>-16.007724257085151</v>
      </c>
      <c r="AV612">
        <f t="shared" si="511"/>
        <v>-3.0615637066616315</v>
      </c>
      <c r="AW612">
        <f t="shared" si="512"/>
        <v>-84.35073068992547</v>
      </c>
      <c r="AX612">
        <f t="shared" si="513"/>
        <v>-180.36479239660036</v>
      </c>
      <c r="AY612">
        <f t="shared" si="521"/>
        <v>-2.0082449286376702</v>
      </c>
      <c r="BA612">
        <f t="shared" si="502"/>
        <v>1.0056427451669419</v>
      </c>
      <c r="BB612">
        <f t="shared" si="514"/>
        <v>4.8874497925391759E-2</v>
      </c>
      <c r="BC612">
        <f t="shared" si="515"/>
        <v>-1.0533187780239612</v>
      </c>
      <c r="BD612">
        <f t="shared" si="503"/>
        <v>-240.35072053161093</v>
      </c>
      <c r="BF612">
        <f t="shared" si="504"/>
        <v>-61.362343272819956</v>
      </c>
      <c r="BG612">
        <f t="shared" si="505"/>
        <v>-188.804778944898</v>
      </c>
      <c r="BH612">
        <f t="shared" si="516"/>
        <v>-8.8047789448980041</v>
      </c>
      <c r="BI612">
        <f t="shared" si="517"/>
        <v>-8.8047789448980041</v>
      </c>
      <c r="BJ612">
        <f t="shared" si="506"/>
        <v>0</v>
      </c>
      <c r="BK612">
        <f t="shared" si="518"/>
        <v>0</v>
      </c>
      <c r="BM612">
        <f t="shared" si="519"/>
        <v>-61.411217770745345</v>
      </c>
      <c r="BN612">
        <f t="shared" si="507"/>
        <v>-128.45405841328707</v>
      </c>
      <c r="BQ612" s="56">
        <f t="shared" si="520"/>
        <v>16.950835298210528</v>
      </c>
    </row>
    <row r="613" spans="1:69" x14ac:dyDescent="0.2">
      <c r="A613">
        <f t="shared" si="525"/>
        <v>1995000</v>
      </c>
      <c r="B613">
        <f t="shared" si="508"/>
        <v>1995</v>
      </c>
      <c r="C613">
        <f t="shared" si="477"/>
        <v>1.6035120475590432</v>
      </c>
      <c r="D613">
        <f t="shared" si="478"/>
        <v>0.89741714659903449</v>
      </c>
      <c r="F613">
        <f t="shared" si="479"/>
        <v>3.5217719999335148E-5</v>
      </c>
      <c r="G613">
        <f t="shared" si="480"/>
        <v>3.4442829882220857E-3</v>
      </c>
      <c r="H613">
        <f t="shared" si="481"/>
        <v>-3.138148367011778</v>
      </c>
      <c r="J613">
        <f t="shared" si="482"/>
        <v>15</v>
      </c>
      <c r="M613">
        <f t="shared" si="483"/>
        <v>3.9988428030918497E-4</v>
      </c>
      <c r="N613">
        <f t="shared" si="484"/>
        <v>-1.5707963250000001</v>
      </c>
      <c r="O613">
        <f t="shared" si="485"/>
        <v>225.63140013750441</v>
      </c>
      <c r="P613">
        <f t="shared" si="486"/>
        <v>1.5663643050408282</v>
      </c>
      <c r="Q613">
        <f t="shared" si="487"/>
        <v>237.40913361249221</v>
      </c>
      <c r="R613">
        <f t="shared" si="488"/>
        <v>1.5665841764794273</v>
      </c>
      <c r="S613">
        <f t="shared" si="489"/>
        <v>0.89571893257620983</v>
      </c>
      <c r="T613">
        <f t="shared" si="490"/>
        <v>-0.46075079142921099</v>
      </c>
      <c r="U613">
        <f t="shared" si="491"/>
        <v>8.3911974079878965E-2</v>
      </c>
      <c r="V613">
        <f t="shared" si="492"/>
        <v>-1.486785565612166</v>
      </c>
      <c r="X613">
        <f t="shared" si="509"/>
        <v>-57.304965834421878</v>
      </c>
      <c r="Y613">
        <f t="shared" si="493"/>
        <v>-150.4653303056638</v>
      </c>
      <c r="Z613">
        <f t="shared" si="510"/>
        <v>29.534669694336202</v>
      </c>
      <c r="AC613">
        <v>1</v>
      </c>
      <c r="AD613">
        <f t="shared" si="494"/>
        <v>225.62918412300004</v>
      </c>
      <c r="AE613">
        <f t="shared" si="495"/>
        <v>-2.8282515960005918</v>
      </c>
      <c r="AF613">
        <f t="shared" si="496"/>
        <v>0.23816413879649997</v>
      </c>
      <c r="AG613">
        <f t="shared" si="473"/>
        <v>6.3195431680062502</v>
      </c>
      <c r="AH613">
        <f t="shared" si="474"/>
        <v>-79.244751734158527</v>
      </c>
      <c r="AJ613">
        <f t="shared" si="497"/>
        <v>10500</v>
      </c>
      <c r="AK613">
        <f t="shared" si="498"/>
        <v>5212.0341532413004</v>
      </c>
      <c r="AL613">
        <v>1</v>
      </c>
      <c r="AM613">
        <f t="shared" si="499"/>
        <v>237.40702753422065</v>
      </c>
      <c r="AN613">
        <f t="shared" si="475"/>
        <v>22.139903736459122</v>
      </c>
      <c r="AO613">
        <f t="shared" si="476"/>
        <v>-44.13458272524484</v>
      </c>
      <c r="AQ613">
        <f t="shared" si="500"/>
        <v>6.2813671847936146E-4</v>
      </c>
      <c r="AR613">
        <f t="shared" si="501"/>
        <v>-2.5062655067326518</v>
      </c>
      <c r="AT613">
        <f t="shared" si="523"/>
        <v>-198.60441832380616</v>
      </c>
      <c r="AU613">
        <f t="shared" si="524"/>
        <v>-15.888229598593059</v>
      </c>
      <c r="AV613">
        <f t="shared" si="511"/>
        <v>-3.0617632875999625</v>
      </c>
      <c r="AW613">
        <f t="shared" si="512"/>
        <v>-83.818388534151381</v>
      </c>
      <c r="AX613">
        <f t="shared" si="513"/>
        <v>-179.9122248563107</v>
      </c>
      <c r="AY613">
        <f t="shared" si="521"/>
        <v>-2.0067813310332903</v>
      </c>
      <c r="BA613">
        <f t="shared" si="502"/>
        <v>1.0038285400337332</v>
      </c>
      <c r="BB613">
        <f t="shared" si="514"/>
        <v>3.3190780556205925E-2</v>
      </c>
      <c r="BC613">
        <f t="shared" si="515"/>
        <v>-1.0549819565666723</v>
      </c>
      <c r="BD613">
        <f t="shared" si="503"/>
        <v>-240.44601364279387</v>
      </c>
      <c r="BF613">
        <f t="shared" si="504"/>
        <v>-61.408314768704216</v>
      </c>
      <c r="BG613">
        <f t="shared" si="505"/>
        <v>-188.83045574234291</v>
      </c>
      <c r="BH613">
        <f t="shared" si="516"/>
        <v>-8.830455742342906</v>
      </c>
      <c r="BI613">
        <f t="shared" si="517"/>
        <v>-8.830455742342906</v>
      </c>
      <c r="BJ613">
        <f t="shared" si="506"/>
        <v>0</v>
      </c>
      <c r="BK613">
        <f t="shared" si="518"/>
        <v>0</v>
      </c>
      <c r="BM613">
        <f t="shared" si="519"/>
        <v>-61.441505549260427</v>
      </c>
      <c r="BN613">
        <f t="shared" si="507"/>
        <v>-128.38444209954901</v>
      </c>
      <c r="BQ613" s="56">
        <f t="shared" si="520"/>
        <v>16.935151580841342</v>
      </c>
    </row>
    <row r="614" spans="1:69" x14ac:dyDescent="0.2">
      <c r="A614">
        <f t="shared" si="525"/>
        <v>2000000</v>
      </c>
      <c r="B614">
        <f t="shared" si="508"/>
        <v>2000</v>
      </c>
      <c r="C614">
        <f t="shared" si="477"/>
        <v>1.6059690845609214</v>
      </c>
      <c r="D614">
        <f t="shared" si="478"/>
        <v>0.89863709249959889</v>
      </c>
      <c r="F614">
        <f t="shared" si="479"/>
        <v>3.5041846262069269E-5</v>
      </c>
      <c r="G614">
        <f t="shared" si="480"/>
        <v>3.4356717322859419E-3</v>
      </c>
      <c r="H614">
        <f t="shared" si="481"/>
        <v>-3.1381569782677143</v>
      </c>
      <c r="J614">
        <f t="shared" si="482"/>
        <v>15</v>
      </c>
      <c r="M614">
        <f t="shared" si="483"/>
        <v>3.9888456960841204E-4</v>
      </c>
      <c r="N614">
        <f t="shared" si="484"/>
        <v>-1.5707963250000001</v>
      </c>
      <c r="O614">
        <f t="shared" si="485"/>
        <v>226.19688127452235</v>
      </c>
      <c r="P614">
        <f t="shared" si="486"/>
        <v>1.5663753849506621</v>
      </c>
      <c r="Q614">
        <f t="shared" si="487"/>
        <v>238.00413342888245</v>
      </c>
      <c r="R614">
        <f t="shared" si="488"/>
        <v>1.5665947067311283</v>
      </c>
      <c r="S614">
        <f t="shared" si="489"/>
        <v>0.89527491604244125</v>
      </c>
      <c r="T614">
        <f t="shared" si="490"/>
        <v>-0.46174843015861505</v>
      </c>
      <c r="U614">
        <f t="shared" si="491"/>
        <v>8.3703665755502657E-2</v>
      </c>
      <c r="V614">
        <f t="shared" si="492"/>
        <v>-1.4869946093661777</v>
      </c>
      <c r="X614">
        <f t="shared" si="509"/>
        <v>-57.339306739436211</v>
      </c>
      <c r="Y614">
        <f t="shared" si="493"/>
        <v>-150.46382558540844</v>
      </c>
      <c r="Z614">
        <f t="shared" si="510"/>
        <v>29.536174414591557</v>
      </c>
      <c r="AC614">
        <v>1</v>
      </c>
      <c r="AD614">
        <f t="shared" si="494"/>
        <v>226.19467080000001</v>
      </c>
      <c r="AE614">
        <f t="shared" si="495"/>
        <v>-2.8424460610177995</v>
      </c>
      <c r="AF614">
        <f t="shared" si="496"/>
        <v>0.23876104140000001</v>
      </c>
      <c r="AG614">
        <f t="shared" si="473"/>
        <v>6.2882060557741957</v>
      </c>
      <c r="AH614">
        <f t="shared" si="474"/>
        <v>-79.049272123436282</v>
      </c>
      <c r="AJ614">
        <f t="shared" si="497"/>
        <v>10500</v>
      </c>
      <c r="AK614">
        <f t="shared" si="498"/>
        <v>5225.0968954800001</v>
      </c>
      <c r="AL614">
        <v>1</v>
      </c>
      <c r="AM614">
        <f t="shared" si="499"/>
        <v>238.00203261576004</v>
      </c>
      <c r="AN614">
        <f t="shared" si="475"/>
        <v>22.138975401759044</v>
      </c>
      <c r="AO614">
        <f t="shared" si="476"/>
        <v>-44.024250168964379</v>
      </c>
      <c r="AQ614">
        <f t="shared" si="500"/>
        <v>6.2499996093750242E-4</v>
      </c>
      <c r="AR614">
        <f t="shared" si="501"/>
        <v>-2.4999998437500097</v>
      </c>
      <c r="AT614">
        <f t="shared" si="523"/>
        <v>-197.61923782860347</v>
      </c>
      <c r="AU614">
        <f t="shared" si="524"/>
        <v>-15.769919948892639</v>
      </c>
      <c r="AV614">
        <f t="shared" si="511"/>
        <v>-3.0619618780105173</v>
      </c>
      <c r="AW614">
        <f t="shared" si="512"/>
        <v>-83.290035473551114</v>
      </c>
      <c r="AX614">
        <f t="shared" si="513"/>
        <v>-179.46192421601006</v>
      </c>
      <c r="AY614">
        <f t="shared" si="521"/>
        <v>-2.0053218031857747</v>
      </c>
      <c r="BA614">
        <f t="shared" si="502"/>
        <v>1.0020192422627352</v>
      </c>
      <c r="BB614">
        <f t="shared" si="514"/>
        <v>1.7521231588306457E-2</v>
      </c>
      <c r="BC614">
        <f t="shared" si="515"/>
        <v>-1.0566400748247426</v>
      </c>
      <c r="BD614">
        <f t="shared" si="503"/>
        <v>-240.54101682102345</v>
      </c>
      <c r="BF614">
        <f t="shared" si="504"/>
        <v>-61.45417037460313</v>
      </c>
      <c r="BG614">
        <f t="shared" si="505"/>
        <v>-188.85605455777801</v>
      </c>
      <c r="BH614">
        <f t="shared" si="516"/>
        <v>-8.856054557778009</v>
      </c>
      <c r="BI614">
        <f t="shared" si="517"/>
        <v>-8.856054557778009</v>
      </c>
      <c r="BJ614">
        <f t="shared" si="506"/>
        <v>0</v>
      </c>
      <c r="BK614">
        <f t="shared" si="518"/>
        <v>0</v>
      </c>
      <c r="BM614">
        <f t="shared" si="519"/>
        <v>-61.471691606191442</v>
      </c>
      <c r="BN614">
        <f t="shared" si="507"/>
        <v>-128.31503773675456</v>
      </c>
      <c r="BQ614" s="56">
        <f t="shared" si="520"/>
        <v>16.919482031873443</v>
      </c>
    </row>
    <row r="615" spans="1:69" x14ac:dyDescent="0.2">
      <c r="A615">
        <f>A614+250000</f>
        <v>2250000</v>
      </c>
      <c r="B615">
        <f t="shared" si="508"/>
        <v>2250</v>
      </c>
      <c r="C615">
        <f t="shared" si="477"/>
        <v>1.7316451387779022</v>
      </c>
      <c r="D615">
        <f t="shared" ref="D615:D626" si="526">ATAN(A615/Fesr)</f>
        <v>0.95515095603250688</v>
      </c>
      <c r="F615">
        <f t="shared" si="479"/>
        <v>2.7687211300090985E-5</v>
      </c>
      <c r="G615">
        <f t="shared" ref="G615:G626" si="527">-ATAN(A615*Fo/(Q*(Fo^2-A615^2)))</f>
        <v>3.053910041517391E-3</v>
      </c>
      <c r="H615">
        <f t="shared" si="481"/>
        <v>-3.138538739958483</v>
      </c>
      <c r="J615">
        <f t="shared" si="482"/>
        <v>15</v>
      </c>
      <c r="M615">
        <f t="shared" ref="M615:M626" si="528">1/(2*Pi*_Rfb1*(Cc1ea_u+Cc2ea_u)*A615)</f>
        <v>3.5456406187414402E-4</v>
      </c>
      <c r="N615">
        <f t="shared" si="484"/>
        <v>-1.5707963250000001</v>
      </c>
      <c r="O615">
        <f t="shared" ref="O615:O626" si="529">SQRT(1+(A615/Fz1_u)^2)</f>
        <v>254.47096951825705</v>
      </c>
      <c r="P615">
        <f t="shared" si="486"/>
        <v>1.5668665953379215</v>
      </c>
      <c r="Q615">
        <f t="shared" ref="Q615:Q626" si="530">SQRT(1+(A615/Fz2_u)^2)</f>
        <v>267.75415408390188</v>
      </c>
      <c r="R615">
        <f t="shared" si="488"/>
        <v>1.5670615487923429</v>
      </c>
      <c r="S615">
        <f t="shared" ref="S615:S626" si="531">1/SQRT(1+(A615/Fp1_u)^2)</f>
        <v>0.872568572728319</v>
      </c>
      <c r="T615">
        <f t="shared" si="490"/>
        <v>-0.51036027545719953</v>
      </c>
      <c r="U615">
        <f t="shared" si="491"/>
        <v>7.4458022315556885E-2</v>
      </c>
      <c r="V615">
        <f t="shared" si="492"/>
        <v>-1.4962693330942145</v>
      </c>
      <c r="X615">
        <f t="shared" ref="X615:X626" si="532">20*LOG(C615*J615*O615*Q615*F615*M615*S615*U615)</f>
        <v>-58.947807764538439</v>
      </c>
      <c r="Y615">
        <f t="shared" ref="Y615:Y626" si="533">(180/Pi)*(D615+H615+N615+P615+R615+T615+V615)</f>
        <v>-150.50945678857587</v>
      </c>
      <c r="Z615">
        <f t="shared" si="510"/>
        <v>29.490543211424125</v>
      </c>
      <c r="AC615">
        <v>1</v>
      </c>
      <c r="AD615">
        <f t="shared" si="494"/>
        <v>254.46900465000002</v>
      </c>
      <c r="AE615">
        <f t="shared" si="495"/>
        <v>-3.597470795975652</v>
      </c>
      <c r="AF615">
        <f t="shared" si="496"/>
        <v>0.268606171575</v>
      </c>
      <c r="AG615">
        <f t="shared" si="473"/>
        <v>4.9757757790433379</v>
      </c>
      <c r="AH615">
        <f t="shared" si="474"/>
        <v>-70.364012642033074</v>
      </c>
      <c r="AJ615">
        <f t="shared" si="497"/>
        <v>10500</v>
      </c>
      <c r="AK615">
        <f t="shared" si="498"/>
        <v>5878.2340074150006</v>
      </c>
      <c r="AL615">
        <v>1</v>
      </c>
      <c r="AM615">
        <f t="shared" si="499"/>
        <v>267.75228669273002</v>
      </c>
      <c r="AN615">
        <f t="shared" si="475"/>
        <v>22.100154184721767</v>
      </c>
      <c r="AO615">
        <f t="shared" si="476"/>
        <v>-39.132811806158792</v>
      </c>
      <c r="AQ615">
        <f t="shared" si="500"/>
        <v>4.9382713610730193E-4</v>
      </c>
      <c r="AR615">
        <f t="shared" si="501"/>
        <v>-2.2222221124828585</v>
      </c>
      <c r="AT615">
        <f t="shared" si="523"/>
        <v>-156.36200764304644</v>
      </c>
      <c r="AU615">
        <f t="shared" si="524"/>
        <v>-11.09202662179476</v>
      </c>
      <c r="AV615">
        <f t="shared" si="511"/>
        <v>-3.0707731691275222</v>
      </c>
      <c r="AW615">
        <f t="shared" si="512"/>
        <v>-61.196744226033353</v>
      </c>
      <c r="AX615">
        <f t="shared" si="513"/>
        <v>-159.50248642394101</v>
      </c>
      <c r="AY615">
        <f t="shared" si="521"/>
        <v>-1.9371486672065257</v>
      </c>
      <c r="BA615">
        <f t="shared" si="502"/>
        <v>0.91755754479914486</v>
      </c>
      <c r="BB615">
        <f t="shared" si="514"/>
        <v>-0.74733378718406451</v>
      </c>
      <c r="BC615">
        <f t="shared" si="515"/>
        <v>-1.1336245019209965</v>
      </c>
      <c r="BD615">
        <f t="shared" si="503"/>
        <v>-244.95189958691157</v>
      </c>
      <c r="BF615">
        <f t="shared" si="504"/>
        <v>-63.610746342928415</v>
      </c>
      <c r="BG615">
        <f t="shared" si="505"/>
        <v>-190.05080478923804</v>
      </c>
      <c r="BH615">
        <f t="shared" si="516"/>
        <v>-10.050804789238043</v>
      </c>
      <c r="BI615">
        <f t="shared" si="517"/>
        <v>-10.050804789238043</v>
      </c>
      <c r="BJ615">
        <f t="shared" si="506"/>
        <v>0</v>
      </c>
      <c r="BK615">
        <f t="shared" si="518"/>
        <v>0</v>
      </c>
      <c r="BM615">
        <f t="shared" si="519"/>
        <v>-62.863412555744354</v>
      </c>
      <c r="BN615">
        <f t="shared" si="507"/>
        <v>-125.09890520232651</v>
      </c>
      <c r="BQ615" s="56">
        <f t="shared" si="520"/>
        <v>16.154627013101074</v>
      </c>
    </row>
    <row r="616" spans="1:69" x14ac:dyDescent="0.2">
      <c r="A616">
        <f t="shared" ref="A616:A626" si="534">A615+250000</f>
        <v>2500000</v>
      </c>
      <c r="B616">
        <f t="shared" si="508"/>
        <v>2500</v>
      </c>
      <c r="C616">
        <f t="shared" si="477"/>
        <v>1.8620958876044773</v>
      </c>
      <c r="D616">
        <f t="shared" si="526"/>
        <v>1.0038848213362384</v>
      </c>
      <c r="F616">
        <f t="shared" si="479"/>
        <v>2.2426540687532997E-5</v>
      </c>
      <c r="G616">
        <f t="shared" si="527"/>
        <v>2.7485059129491629E-3</v>
      </c>
      <c r="H616">
        <f t="shared" si="481"/>
        <v>-3.1388441440870509</v>
      </c>
      <c r="J616">
        <f t="shared" si="482"/>
        <v>15</v>
      </c>
      <c r="M616">
        <f t="shared" si="528"/>
        <v>3.1910765568672964E-4</v>
      </c>
      <c r="N616">
        <f t="shared" si="484"/>
        <v>-1.5707963250000001</v>
      </c>
      <c r="O616">
        <f t="shared" si="529"/>
        <v>282.74510688272852</v>
      </c>
      <c r="P616">
        <f t="shared" si="486"/>
        <v>1.5672595650245207</v>
      </c>
      <c r="Q616">
        <f t="shared" si="530"/>
        <v>297.50422142286823</v>
      </c>
      <c r="R616">
        <f t="shared" si="488"/>
        <v>1.5674350236231984</v>
      </c>
      <c r="S616">
        <f t="shared" si="531"/>
        <v>0.8491277745818584</v>
      </c>
      <c r="T616">
        <f t="shared" si="490"/>
        <v>-0.55646458725027981</v>
      </c>
      <c r="U616">
        <f t="shared" si="491"/>
        <v>6.7047541968963023E-2</v>
      </c>
      <c r="V616">
        <f t="shared" si="492"/>
        <v>-1.5036984489836804</v>
      </c>
      <c r="X616">
        <f t="shared" si="532"/>
        <v>-60.379261003783789</v>
      </c>
      <c r="Y616">
        <f t="shared" si="533"/>
        <v>-150.75803578820754</v>
      </c>
      <c r="Z616">
        <f t="shared" si="510"/>
        <v>29.241964211792464</v>
      </c>
      <c r="AC616">
        <v>1</v>
      </c>
      <c r="AD616">
        <f t="shared" si="494"/>
        <v>282.74333849999999</v>
      </c>
      <c r="AE616">
        <f t="shared" si="495"/>
        <v>-4.4413219703403115</v>
      </c>
      <c r="AF616">
        <f t="shared" si="496"/>
        <v>0.29845130174999995</v>
      </c>
      <c r="AG616">
        <f t="shared" ref="AG616:AG626" si="535">AC616*AE616/(AE616^2+AF616^2)+AD616*AF616/(AE616^2+AF616^2)</f>
        <v>4.0346282948528325</v>
      </c>
      <c r="AH616">
        <f t="shared" ref="AH616:AH626" si="536">AD616*AE616/(AE616^2+AF616^2)-AC616*AF616/(AE616^2+AF616^2)</f>
        <v>-63.390855315934488</v>
      </c>
      <c r="AJ616">
        <f t="shared" si="497"/>
        <v>10500</v>
      </c>
      <c r="AK616">
        <f t="shared" si="498"/>
        <v>6531.3711193500003</v>
      </c>
      <c r="AL616">
        <v>1</v>
      </c>
      <c r="AM616">
        <f t="shared" si="499"/>
        <v>297.50254076970003</v>
      </c>
      <c r="AN616">
        <f t="shared" ref="AN616:AN626" si="537">AJ616*AL616/(AL616^2+AM616^2)+AK616*AM616/(AL616^2+AM616^2)</f>
        <v>22.072385420057305</v>
      </c>
      <c r="AO616">
        <f t="shared" ref="AO616:AO626" si="538">AK616*AL616/(AL616^2+AM616^2)-AJ616*AM616/(AL616^2+AM616^2)</f>
        <v>-35.219623965131177</v>
      </c>
      <c r="AQ616">
        <f t="shared" si="500"/>
        <v>3.9999998400000063E-4</v>
      </c>
      <c r="AR616">
        <f t="shared" si="501"/>
        <v>-1.9999999200000032</v>
      </c>
      <c r="AT616">
        <f t="shared" si="523"/>
        <v>-126.78009170934737</v>
      </c>
      <c r="AU616">
        <f t="shared" si="524"/>
        <v>-8.0946126080475338</v>
      </c>
      <c r="AV616">
        <f t="shared" si="511"/>
        <v>-3.0778315375516194</v>
      </c>
      <c r="AW616">
        <f t="shared" si="512"/>
        <v>-45.395176552119842</v>
      </c>
      <c r="AX616">
        <f t="shared" si="513"/>
        <v>-143.53997894542414</v>
      </c>
      <c r="AY616">
        <f t="shared" si="521"/>
        <v>-1.8770980771759309</v>
      </c>
      <c r="BA616">
        <f t="shared" si="502"/>
        <v>0.84384347939490068</v>
      </c>
      <c r="BB616">
        <f t="shared" si="514"/>
        <v>-1.4747620233870993</v>
      </c>
      <c r="BC616">
        <f t="shared" si="515"/>
        <v>-1.2007334603756885</v>
      </c>
      <c r="BD616">
        <f t="shared" si="503"/>
        <v>-248.7969596782778</v>
      </c>
      <c r="BF616">
        <f t="shared" si="504"/>
        <v>-65.537650253422186</v>
      </c>
      <c r="BG616">
        <f t="shared" si="505"/>
        <v>-191.12111844378364</v>
      </c>
      <c r="BH616">
        <f t="shared" si="516"/>
        <v>-11.121118443783644</v>
      </c>
      <c r="BI616">
        <f t="shared" si="517"/>
        <v>-11.121118443783644</v>
      </c>
      <c r="BJ616">
        <f t="shared" si="506"/>
        <v>0</v>
      </c>
      <c r="BK616">
        <f t="shared" si="518"/>
        <v>0</v>
      </c>
      <c r="BM616">
        <f t="shared" si="519"/>
        <v>-64.062888230035085</v>
      </c>
      <c r="BN616">
        <f t="shared" si="507"/>
        <v>-122.32415876550584</v>
      </c>
      <c r="BQ616" s="56">
        <f t="shared" si="520"/>
        <v>15.427198776898036</v>
      </c>
    </row>
    <row r="617" spans="1:69" x14ac:dyDescent="0.2">
      <c r="A617">
        <f t="shared" si="534"/>
        <v>2750000</v>
      </c>
      <c r="B617">
        <f t="shared" si="508"/>
        <v>2750</v>
      </c>
      <c r="C617">
        <f t="shared" si="477"/>
        <v>1.9963855650917091</v>
      </c>
      <c r="D617">
        <f t="shared" si="526"/>
        <v>1.0461519488584037</v>
      </c>
      <c r="F617">
        <f t="shared" si="479"/>
        <v>1.8534269714750611E-5</v>
      </c>
      <c r="G617">
        <f t="shared" si="527"/>
        <v>2.4986329113051687E-3</v>
      </c>
      <c r="H617">
        <f t="shared" si="481"/>
        <v>-3.139094017088695</v>
      </c>
      <c r="J617">
        <f t="shared" si="482"/>
        <v>15</v>
      </c>
      <c r="M617">
        <f t="shared" si="528"/>
        <v>2.9009786880611783E-4</v>
      </c>
      <c r="N617">
        <f t="shared" si="484"/>
        <v>-1.5707963250000001</v>
      </c>
      <c r="O617">
        <f t="shared" si="529"/>
        <v>311.01927997153484</v>
      </c>
      <c r="P617">
        <f t="shared" si="486"/>
        <v>1.5675810864951465</v>
      </c>
      <c r="Q617">
        <f t="shared" si="530"/>
        <v>327.25432271393555</v>
      </c>
      <c r="R617">
        <f t="shared" si="488"/>
        <v>1.5677405946415106</v>
      </c>
      <c r="S617">
        <f t="shared" si="531"/>
        <v>0.82529635604254958</v>
      </c>
      <c r="T617">
        <f t="shared" si="490"/>
        <v>-0.60006952518500889</v>
      </c>
      <c r="U617">
        <f t="shared" si="491"/>
        <v>6.0976101954482193E-2</v>
      </c>
      <c r="V617">
        <f t="shared" si="492"/>
        <v>-1.5097823757576363</v>
      </c>
      <c r="X617">
        <f t="shared" si="532"/>
        <v>-61.674040286293518</v>
      </c>
      <c r="Y617">
        <f t="shared" si="533"/>
        <v>-151.16165692153956</v>
      </c>
      <c r="Z617">
        <f t="shared" si="510"/>
        <v>28.83834307846044</v>
      </c>
      <c r="AC617">
        <v>1</v>
      </c>
      <c r="AD617">
        <f t="shared" si="494"/>
        <v>311.01767235</v>
      </c>
      <c r="AE617">
        <f t="shared" si="495"/>
        <v>-5.373999584111778</v>
      </c>
      <c r="AF617">
        <f t="shared" si="496"/>
        <v>0.32829643192500002</v>
      </c>
      <c r="AG617">
        <f t="shared" si="535"/>
        <v>3.3370070445943014</v>
      </c>
      <c r="AH617">
        <f t="shared" si="536"/>
        <v>-57.670667813268068</v>
      </c>
      <c r="AJ617">
        <f t="shared" si="497"/>
        <v>10500</v>
      </c>
      <c r="AK617">
        <f t="shared" si="498"/>
        <v>7184.5082312850009</v>
      </c>
      <c r="AL617">
        <v>1</v>
      </c>
      <c r="AM617">
        <f t="shared" si="499"/>
        <v>327.25279484667004</v>
      </c>
      <c r="AN617">
        <f t="shared" si="537"/>
        <v>22.051839579910357</v>
      </c>
      <c r="AO617">
        <f t="shared" si="538"/>
        <v>-32.01790275108084</v>
      </c>
      <c r="AQ617">
        <f t="shared" si="500"/>
        <v>3.3057850146847931E-4</v>
      </c>
      <c r="AR617">
        <f t="shared" si="501"/>
        <v>-1.8181817580766362</v>
      </c>
      <c r="AT617">
        <f t="shared" si="523"/>
        <v>-104.85465305139321</v>
      </c>
      <c r="AU617">
        <f t="shared" si="524"/>
        <v>-6.0863500179989831</v>
      </c>
      <c r="AV617">
        <f t="shared" si="511"/>
        <v>-3.0836121246724684</v>
      </c>
      <c r="AW617">
        <f t="shared" si="512"/>
        <v>-33.704683570104656</v>
      </c>
      <c r="AX617">
        <f t="shared" si="513"/>
        <v>-130.48270159194487</v>
      </c>
      <c r="AY617">
        <f t="shared" si="521"/>
        <v>-1.823578567539119</v>
      </c>
      <c r="BA617">
        <f t="shared" si="502"/>
        <v>0.77936225635668877</v>
      </c>
      <c r="BB617">
        <f t="shared" si="514"/>
        <v>-2.165212608611764</v>
      </c>
      <c r="BC617">
        <f t="shared" si="515"/>
        <v>-1.2600335571333494</v>
      </c>
      <c r="BD617">
        <f t="shared" si="503"/>
        <v>-252.19460495109158</v>
      </c>
      <c r="BF617">
        <f t="shared" si="504"/>
        <v>-67.27898943330996</v>
      </c>
      <c r="BG617">
        <f t="shared" si="505"/>
        <v>-192.11135236309369</v>
      </c>
      <c r="BH617">
        <f t="shared" si="516"/>
        <v>-12.111352363093687</v>
      </c>
      <c r="BI617">
        <f t="shared" si="517"/>
        <v>-12.111352363093687</v>
      </c>
      <c r="BJ617">
        <f t="shared" si="506"/>
        <v>0</v>
      </c>
      <c r="BK617">
        <f t="shared" si="518"/>
        <v>0</v>
      </c>
      <c r="BM617">
        <f t="shared" si="519"/>
        <v>-65.113776824698192</v>
      </c>
      <c r="BN617">
        <f t="shared" si="507"/>
        <v>-119.91674741200214</v>
      </c>
      <c r="BQ617" s="56">
        <f t="shared" si="520"/>
        <v>14.736748191673373</v>
      </c>
    </row>
    <row r="618" spans="1:69" x14ac:dyDescent="0.2">
      <c r="A618">
        <f t="shared" si="534"/>
        <v>3000000</v>
      </c>
      <c r="B618">
        <f t="shared" si="508"/>
        <v>3000</v>
      </c>
      <c r="C618">
        <f t="shared" si="477"/>
        <v>2.1337894873375509</v>
      </c>
      <c r="D618">
        <f t="shared" si="526"/>
        <v>1.0830346188631241</v>
      </c>
      <c r="F618">
        <f t="shared" si="479"/>
        <v>1.5573895707641404E-5</v>
      </c>
      <c r="G618">
        <f t="shared" si="527"/>
        <v>2.2904073473616155E-3</v>
      </c>
      <c r="H618">
        <f t="shared" si="481"/>
        <v>-3.1393022426526387</v>
      </c>
      <c r="J618">
        <f t="shared" si="482"/>
        <v>15</v>
      </c>
      <c r="M618">
        <f t="shared" si="528"/>
        <v>2.6592304640560798E-4</v>
      </c>
      <c r="N618">
        <f t="shared" si="484"/>
        <v>-1.5707963250000001</v>
      </c>
      <c r="O618">
        <f t="shared" si="529"/>
        <v>339.29347985368184</v>
      </c>
      <c r="P618">
        <f t="shared" si="486"/>
        <v>1.5678490215646259</v>
      </c>
      <c r="Q618">
        <f t="shared" si="530"/>
        <v>357.00444946915565</v>
      </c>
      <c r="R618">
        <f t="shared" si="488"/>
        <v>1.5679952375951076</v>
      </c>
      <c r="S618">
        <f t="shared" si="531"/>
        <v>0.80136636570489805</v>
      </c>
      <c r="T618">
        <f t="shared" si="490"/>
        <v>-0.64122036277435768</v>
      </c>
      <c r="U618">
        <f t="shared" si="491"/>
        <v>5.5911364374253383E-2</v>
      </c>
      <c r="V618">
        <f t="shared" si="492"/>
        <v>-1.5148557907926627</v>
      </c>
      <c r="X618">
        <f t="shared" si="532"/>
        <v>-62.860471732312135</v>
      </c>
      <c r="Y618">
        <f t="shared" si="533"/>
        <v>-151.67887911102164</v>
      </c>
      <c r="Z618">
        <f t="shared" si="510"/>
        <v>28.321120888978356</v>
      </c>
      <c r="AC618">
        <v>1</v>
      </c>
      <c r="AD618">
        <f t="shared" si="494"/>
        <v>339.2920062</v>
      </c>
      <c r="AE618">
        <f t="shared" si="495"/>
        <v>-6.3955036372900489</v>
      </c>
      <c r="AF618">
        <f t="shared" si="496"/>
        <v>0.35814156209999998</v>
      </c>
      <c r="AG618">
        <f t="shared" si="535"/>
        <v>2.8056790466640744</v>
      </c>
      <c r="AH618">
        <f t="shared" si="536"/>
        <v>-52.89453264494086</v>
      </c>
      <c r="AJ618">
        <f t="shared" si="497"/>
        <v>10500</v>
      </c>
      <c r="AK618">
        <f t="shared" si="498"/>
        <v>7837.6453432200015</v>
      </c>
      <c r="AL618">
        <v>1</v>
      </c>
      <c r="AM618">
        <f t="shared" si="499"/>
        <v>357.00304892364005</v>
      </c>
      <c r="AN618">
        <f t="shared" si="537"/>
        <v>22.036212729554283</v>
      </c>
      <c r="AO618">
        <f t="shared" si="538"/>
        <v>-29.349787960807006</v>
      </c>
      <c r="AQ618">
        <f t="shared" si="500"/>
        <v>2.7777777006172862E-4</v>
      </c>
      <c r="AR618">
        <f t="shared" si="501"/>
        <v>-1.6666666203703717</v>
      </c>
      <c r="AT618">
        <f t="shared" si="523"/>
        <v>-88.156772604144791</v>
      </c>
      <c r="AU618">
        <f t="shared" si="524"/>
        <v>-4.690824539874149</v>
      </c>
      <c r="AV618">
        <f t="shared" si="511"/>
        <v>-3.0884327561527067</v>
      </c>
      <c r="AW618">
        <f t="shared" si="512"/>
        <v>-24.813607351520186</v>
      </c>
      <c r="AX618">
        <f t="shared" si="513"/>
        <v>-119.60346414947819</v>
      </c>
      <c r="AY618">
        <f t="shared" si="521"/>
        <v>-1.7753599573704857</v>
      </c>
      <c r="BA618">
        <f t="shared" si="502"/>
        <v>0.72272814977148625</v>
      </c>
      <c r="BB618">
        <f t="shared" si="514"/>
        <v>-2.8205005895381308</v>
      </c>
      <c r="BC618">
        <f t="shared" si="515"/>
        <v>-1.3130727987822211</v>
      </c>
      <c r="BD618">
        <f t="shared" si="503"/>
        <v>-255.2335296496189</v>
      </c>
      <c r="BF618">
        <f t="shared" si="504"/>
        <v>-68.86769874437843</v>
      </c>
      <c r="BG618">
        <f t="shared" si="505"/>
        <v>-193.04898617677637</v>
      </c>
      <c r="BH618">
        <f t="shared" si="516"/>
        <v>-13.048986176776367</v>
      </c>
      <c r="BI618">
        <f t="shared" si="517"/>
        <v>-13.048986176776367</v>
      </c>
      <c r="BJ618">
        <f t="shared" si="506"/>
        <v>0</v>
      </c>
      <c r="BK618">
        <f t="shared" si="518"/>
        <v>0</v>
      </c>
      <c r="BM618">
        <f t="shared" si="519"/>
        <v>-66.047198154840288</v>
      </c>
      <c r="BN618">
        <f t="shared" si="507"/>
        <v>-117.81545652715751</v>
      </c>
      <c r="BQ618" s="56">
        <f t="shared" si="520"/>
        <v>14.081460210747005</v>
      </c>
    </row>
    <row r="619" spans="1:69" x14ac:dyDescent="0.2">
      <c r="A619">
        <f t="shared" si="534"/>
        <v>3250000</v>
      </c>
      <c r="B619">
        <f t="shared" si="508"/>
        <v>3250</v>
      </c>
      <c r="C619">
        <f t="shared" si="477"/>
        <v>2.2737431363130325</v>
      </c>
      <c r="D619">
        <f t="shared" si="526"/>
        <v>1.1154165545890451</v>
      </c>
      <c r="F619">
        <f t="shared" si="479"/>
        <v>1.32700389473236E-5</v>
      </c>
      <c r="G619">
        <f t="shared" si="527"/>
        <v>2.1142177454793005E-3</v>
      </c>
      <c r="H619">
        <f t="shared" si="481"/>
        <v>-3.1394784322545211</v>
      </c>
      <c r="J619">
        <f t="shared" si="482"/>
        <v>15</v>
      </c>
      <c r="M619">
        <f t="shared" si="528"/>
        <v>2.4546742745133049E-4</v>
      </c>
      <c r="N619">
        <f t="shared" si="484"/>
        <v>-1.5707963250000001</v>
      </c>
      <c r="O619">
        <f t="shared" si="529"/>
        <v>367.56770034614328</v>
      </c>
      <c r="P619">
        <f t="shared" si="486"/>
        <v>1.5680757361862507</v>
      </c>
      <c r="Q619">
        <f t="shared" si="530"/>
        <v>386.75459581223032</v>
      </c>
      <c r="R619">
        <f t="shared" si="488"/>
        <v>1.5682107049947451</v>
      </c>
      <c r="S619">
        <f t="shared" si="531"/>
        <v>0.77757858381704159</v>
      </c>
      <c r="T619">
        <f t="shared" si="490"/>
        <v>-0.67999067244750577</v>
      </c>
      <c r="U619">
        <f t="shared" si="491"/>
        <v>5.1622427657146509E-2</v>
      </c>
      <c r="V619">
        <f t="shared" si="492"/>
        <v>-1.5191509437126081</v>
      </c>
      <c r="X619">
        <f t="shared" si="532"/>
        <v>-63.958914637673715</v>
      </c>
      <c r="Y619">
        <f t="shared" si="533"/>
        <v>-152.27575986849433</v>
      </c>
      <c r="Z619">
        <f t="shared" si="510"/>
        <v>27.724240131505667</v>
      </c>
      <c r="AC619">
        <v>1</v>
      </c>
      <c r="AD619">
        <f t="shared" si="494"/>
        <v>367.56634005000001</v>
      </c>
      <c r="AE619">
        <f t="shared" si="495"/>
        <v>-7.5058341298751259</v>
      </c>
      <c r="AF619">
        <f t="shared" si="496"/>
        <v>0.38798669227499999</v>
      </c>
      <c r="AG619">
        <f t="shared" si="535"/>
        <v>2.3917438007158243</v>
      </c>
      <c r="AH619">
        <f t="shared" si="536"/>
        <v>-48.847119312785921</v>
      </c>
      <c r="AJ619">
        <f t="shared" si="497"/>
        <v>10500</v>
      </c>
      <c r="AK619">
        <f t="shared" si="498"/>
        <v>8490.782455155002</v>
      </c>
      <c r="AL619">
        <v>1</v>
      </c>
      <c r="AM619">
        <f t="shared" si="499"/>
        <v>386.75330300061</v>
      </c>
      <c r="AN619">
        <f t="shared" si="537"/>
        <v>22.02405133318339</v>
      </c>
      <c r="AO619">
        <f t="shared" si="538"/>
        <v>-27.092143408663503</v>
      </c>
      <c r="AQ619">
        <f t="shared" si="500"/>
        <v>2.3668638493049978E-4</v>
      </c>
      <c r="AR619">
        <f t="shared" si="501"/>
        <v>-1.5384615020482484</v>
      </c>
      <c r="AT619">
        <f t="shared" si="523"/>
        <v>-75.148846455484758</v>
      </c>
      <c r="AU619">
        <f t="shared" si="524"/>
        <v>-3.6911672082482658</v>
      </c>
      <c r="AV619">
        <f t="shared" si="511"/>
        <v>-3.092514014963518</v>
      </c>
      <c r="AW619">
        <f t="shared" si="512"/>
        <v>-17.894560351847868</v>
      </c>
      <c r="AX619">
        <f t="shared" si="513"/>
        <v>-110.39913462280424</v>
      </c>
      <c r="AY619">
        <f t="shared" si="521"/>
        <v>-1.7314884411900096</v>
      </c>
      <c r="BA619">
        <f t="shared" si="502"/>
        <v>0.67274184134228876</v>
      </c>
      <c r="BB619">
        <f t="shared" si="514"/>
        <v>-3.4430312085270867</v>
      </c>
      <c r="BC619">
        <f t="shared" si="515"/>
        <v>-1.3610255737735084</v>
      </c>
      <c r="BD619">
        <f t="shared" si="503"/>
        <v>-257.98102127569962</v>
      </c>
      <c r="BF619">
        <f t="shared" si="504"/>
        <v>-70.328934055548785</v>
      </c>
      <c r="BG619">
        <f t="shared" si="505"/>
        <v>-193.95122447177138</v>
      </c>
      <c r="BH619">
        <f t="shared" si="516"/>
        <v>-13.951224471771383</v>
      </c>
      <c r="BI619">
        <f t="shared" si="517"/>
        <v>-13.951224471771383</v>
      </c>
      <c r="BJ619">
        <f t="shared" si="506"/>
        <v>0</v>
      </c>
      <c r="BK619">
        <f t="shared" si="518"/>
        <v>0</v>
      </c>
      <c r="BM619">
        <f t="shared" si="519"/>
        <v>-66.885902847021697</v>
      </c>
      <c r="BN619">
        <f t="shared" si="507"/>
        <v>-115.97020319607179</v>
      </c>
      <c r="BQ619" s="56">
        <f t="shared" si="520"/>
        <v>13.45892959175805</v>
      </c>
    </row>
    <row r="620" spans="1:69" x14ac:dyDescent="0.2">
      <c r="A620">
        <f t="shared" si="534"/>
        <v>3500000</v>
      </c>
      <c r="B620">
        <f t="shared" si="508"/>
        <v>3500</v>
      </c>
      <c r="C620">
        <f t="shared" si="477"/>
        <v>2.4158034161499304</v>
      </c>
      <c r="D620">
        <f t="shared" si="526"/>
        <v>1.1440172171887624</v>
      </c>
      <c r="F620">
        <f t="shared" si="479"/>
        <v>1.1442005566319227E-5</v>
      </c>
      <c r="G620">
        <f t="shared" si="527"/>
        <v>1.9631989346467296E-3</v>
      </c>
      <c r="H620">
        <f t="shared" si="481"/>
        <v>-3.1396294510653533</v>
      </c>
      <c r="J620">
        <f t="shared" si="482"/>
        <v>15</v>
      </c>
      <c r="M620">
        <f t="shared" si="528"/>
        <v>2.2793403977623545E-4</v>
      </c>
      <c r="N620">
        <f t="shared" si="484"/>
        <v>-1.5707963250000001</v>
      </c>
      <c r="O620">
        <f t="shared" si="529"/>
        <v>395.84193703245506</v>
      </c>
      <c r="P620">
        <f t="shared" si="486"/>
        <v>1.5682700632282682</v>
      </c>
      <c r="Q620">
        <f t="shared" si="530"/>
        <v>416.50475754578957</v>
      </c>
      <c r="R620">
        <f t="shared" si="488"/>
        <v>1.5683953915291353</v>
      </c>
      <c r="S620">
        <f t="shared" si="531"/>
        <v>0.75412576322909641</v>
      </c>
      <c r="T620">
        <f t="shared" si="490"/>
        <v>-0.71647442326969213</v>
      </c>
      <c r="U620">
        <f t="shared" si="491"/>
        <v>4.7943912311985672E-2</v>
      </c>
      <c r="V620">
        <f t="shared" si="492"/>
        <v>-1.5228340279955146</v>
      </c>
      <c r="X620">
        <f t="shared" si="532"/>
        <v>-64.984335790017568</v>
      </c>
      <c r="Y620">
        <f t="shared" si="533"/>
        <v>-152.92538960109638</v>
      </c>
      <c r="Z620">
        <f t="shared" si="510"/>
        <v>27.074610398903616</v>
      </c>
      <c r="AC620">
        <v>1</v>
      </c>
      <c r="AD620">
        <f t="shared" si="494"/>
        <v>395.84067390000001</v>
      </c>
      <c r="AE620">
        <f t="shared" si="495"/>
        <v>-8.704991061867009</v>
      </c>
      <c r="AF620">
        <f t="shared" si="496"/>
        <v>0.41783182244999995</v>
      </c>
      <c r="AG620">
        <f t="shared" si="535"/>
        <v>2.0630262265942267</v>
      </c>
      <c r="AH620">
        <f t="shared" si="536"/>
        <v>-45.37381751283116</v>
      </c>
      <c r="AJ620">
        <f t="shared" si="497"/>
        <v>10500</v>
      </c>
      <c r="AK620">
        <f t="shared" si="498"/>
        <v>9143.9195670900026</v>
      </c>
      <c r="AL620">
        <v>1</v>
      </c>
      <c r="AM620">
        <f t="shared" si="499"/>
        <v>416.50355707758007</v>
      </c>
      <c r="AN620">
        <f t="shared" si="537"/>
        <v>22.014401617363752</v>
      </c>
      <c r="AO620">
        <f t="shared" si="538"/>
        <v>-25.157013476432216</v>
      </c>
      <c r="AQ620">
        <f t="shared" si="500"/>
        <v>2.0408162848813003E-4</v>
      </c>
      <c r="AR620">
        <f t="shared" si="501"/>
        <v>-1.4285713994169102</v>
      </c>
      <c r="AT620">
        <f t="shared" si="523"/>
        <v>-64.819316955440783</v>
      </c>
      <c r="AU620">
        <f t="shared" si="524"/>
        <v>-2.9564402261282439</v>
      </c>
      <c r="AV620">
        <f t="shared" si="511"/>
        <v>-3.0960137612151541</v>
      </c>
      <c r="AW620">
        <f t="shared" si="512"/>
        <v>-12.404696093660629</v>
      </c>
      <c r="AX620">
        <f t="shared" si="513"/>
        <v>-102.51049810949732</v>
      </c>
      <c r="AY620">
        <f t="shared" si="521"/>
        <v>-1.6912198414641559</v>
      </c>
      <c r="BA620">
        <f t="shared" si="502"/>
        <v>0.62839207692549681</v>
      </c>
      <c r="BB620">
        <f t="shared" si="514"/>
        <v>-4.0353859878936387</v>
      </c>
      <c r="BC620">
        <f t="shared" si="515"/>
        <v>-1.4047939197509982</v>
      </c>
      <c r="BD620">
        <f t="shared" si="503"/>
        <v>-260.48876277934369</v>
      </c>
      <c r="BF620">
        <f t="shared" si="504"/>
        <v>-71.682285891455422</v>
      </c>
      <c r="BG620">
        <f t="shared" si="505"/>
        <v>-194.82892145579916</v>
      </c>
      <c r="BH620">
        <f t="shared" si="516"/>
        <v>-14.828921455799161</v>
      </c>
      <c r="BI620">
        <f t="shared" si="517"/>
        <v>-14.828921455799161</v>
      </c>
      <c r="BJ620">
        <f t="shared" si="506"/>
        <v>0</v>
      </c>
      <c r="BK620">
        <f t="shared" si="518"/>
        <v>0</v>
      </c>
      <c r="BM620">
        <f t="shared" si="519"/>
        <v>-67.646899903561774</v>
      </c>
      <c r="BN620">
        <f t="shared" si="507"/>
        <v>-114.3401586764555</v>
      </c>
      <c r="BQ620" s="56">
        <f t="shared" si="520"/>
        <v>12.866574812391498</v>
      </c>
    </row>
    <row r="621" spans="1:69" x14ac:dyDescent="0.2">
      <c r="A621">
        <f t="shared" si="534"/>
        <v>3750000</v>
      </c>
      <c r="B621">
        <f t="shared" si="508"/>
        <v>3750</v>
      </c>
      <c r="C621">
        <f t="shared" si="477"/>
        <v>2.5596195934016031</v>
      </c>
      <c r="D621">
        <f t="shared" si="526"/>
        <v>1.169422824404815</v>
      </c>
      <c r="F621">
        <f t="shared" si="479"/>
        <v>9.9672456647295322E-6</v>
      </c>
      <c r="G621">
        <f t="shared" si="527"/>
        <v>1.8323165528276266E-3</v>
      </c>
      <c r="H621">
        <f t="shared" si="481"/>
        <v>-3.1397603334471724</v>
      </c>
      <c r="J621">
        <f t="shared" si="482"/>
        <v>15</v>
      </c>
      <c r="M621">
        <f t="shared" si="528"/>
        <v>2.1273843712448642E-4</v>
      </c>
      <c r="N621">
        <f t="shared" si="484"/>
        <v>-1.5707963250000001</v>
      </c>
      <c r="O621">
        <f t="shared" si="529"/>
        <v>424.11618667386716</v>
      </c>
      <c r="P621">
        <f t="shared" si="486"/>
        <v>1.5684384801528795</v>
      </c>
      <c r="Q621">
        <f t="shared" si="530"/>
        <v>446.25493159175369</v>
      </c>
      <c r="R621">
        <f t="shared" si="488"/>
        <v>1.5685554533252128</v>
      </c>
      <c r="S621">
        <f t="shared" si="531"/>
        <v>0.73115749429748422</v>
      </c>
      <c r="T621">
        <f t="shared" si="490"/>
        <v>-0.75077922870803326</v>
      </c>
      <c r="U621">
        <f t="shared" si="491"/>
        <v>4.4754281577543624E-2</v>
      </c>
      <c r="V621">
        <f t="shared" si="492"/>
        <v>-1.5260270916692937</v>
      </c>
      <c r="X621">
        <f t="shared" si="532"/>
        <v>-65.947975715915931</v>
      </c>
      <c r="Y621">
        <f t="shared" si="533"/>
        <v>-153.60690373702218</v>
      </c>
      <c r="Z621">
        <f t="shared" si="510"/>
        <v>26.393096262977821</v>
      </c>
      <c r="AC621">
        <v>1</v>
      </c>
      <c r="AD621">
        <f t="shared" si="494"/>
        <v>424.11500775000002</v>
      </c>
      <c r="AE621">
        <f t="shared" si="495"/>
        <v>-9.9929744332656991</v>
      </c>
      <c r="AF621">
        <f t="shared" si="496"/>
        <v>0.44767695262500001</v>
      </c>
      <c r="AG621">
        <f t="shared" si="535"/>
        <v>1.7976576540862812</v>
      </c>
      <c r="AH621">
        <f t="shared" si="536"/>
        <v>-42.360784636893946</v>
      </c>
      <c r="AJ621">
        <f t="shared" si="497"/>
        <v>10500</v>
      </c>
      <c r="AK621">
        <f t="shared" si="498"/>
        <v>9797.0566790250014</v>
      </c>
      <c r="AL621">
        <v>1</v>
      </c>
      <c r="AM621">
        <f t="shared" si="499"/>
        <v>446.25381115455002</v>
      </c>
      <c r="AN621">
        <f t="shared" si="537"/>
        <v>22.006616706100417</v>
      </c>
      <c r="AO621">
        <f t="shared" si="538"/>
        <v>-23.479896689700386</v>
      </c>
      <c r="AQ621">
        <f t="shared" si="500"/>
        <v>1.77777774617284E-4</v>
      </c>
      <c r="AR621">
        <f t="shared" si="501"/>
        <v>-1.33333330962963</v>
      </c>
      <c r="AT621">
        <f t="shared" si="523"/>
        <v>-56.480725594840528</v>
      </c>
      <c r="AU621">
        <f t="shared" si="524"/>
        <v>-2.4044076355276869</v>
      </c>
      <c r="AV621">
        <f t="shared" si="511"/>
        <v>-3.0990479317736641</v>
      </c>
      <c r="AW621">
        <f t="shared" si="512"/>
        <v>-7.9758749575117722</v>
      </c>
      <c r="AX621">
        <f t="shared" si="513"/>
        <v>-95.67422380030925</v>
      </c>
      <c r="AY621">
        <f t="shared" si="521"/>
        <v>-1.6539689372311286</v>
      </c>
      <c r="BA621">
        <f t="shared" si="502"/>
        <v>0.58883632786712437</v>
      </c>
      <c r="BB621">
        <f t="shared" si="514"/>
        <v>-4.6001080866738588</v>
      </c>
      <c r="BC621">
        <f t="shared" si="515"/>
        <v>-1.4450789945425355</v>
      </c>
      <c r="BD621">
        <f t="shared" si="503"/>
        <v>-262.79692754490509</v>
      </c>
      <c r="BF621">
        <f t="shared" si="504"/>
        <v>-72.943271135785736</v>
      </c>
      <c r="BG621">
        <f t="shared" si="505"/>
        <v>-195.68895115834977</v>
      </c>
      <c r="BH621">
        <f t="shared" si="516"/>
        <v>-15.688951158349767</v>
      </c>
      <c r="BI621">
        <f t="shared" si="517"/>
        <v>-15.688951158349767</v>
      </c>
      <c r="BJ621">
        <f t="shared" si="506"/>
        <v>0</v>
      </c>
      <c r="BK621">
        <f t="shared" si="518"/>
        <v>0</v>
      </c>
      <c r="BM621">
        <f t="shared" si="519"/>
        <v>-68.343163049111865</v>
      </c>
      <c r="BN621">
        <f t="shared" si="507"/>
        <v>-112.89202361344471</v>
      </c>
      <c r="BQ621" s="56">
        <f t="shared" si="520"/>
        <v>12.301852713611279</v>
      </c>
    </row>
    <row r="622" spans="1:69" x14ac:dyDescent="0.2">
      <c r="A622">
        <f t="shared" si="534"/>
        <v>4000000</v>
      </c>
      <c r="B622">
        <f t="shared" si="508"/>
        <v>4000</v>
      </c>
      <c r="C622">
        <f t="shared" si="477"/>
        <v>2.7049116071069261</v>
      </c>
      <c r="D622">
        <f t="shared" si="526"/>
        <v>1.1921125183465748</v>
      </c>
      <c r="F622">
        <f t="shared" si="479"/>
        <v>8.7602655059494768E-6</v>
      </c>
      <c r="G622">
        <f t="shared" si="527"/>
        <v>1.7177948862749206E-3</v>
      </c>
      <c r="H622">
        <f t="shared" si="481"/>
        <v>-3.1398748551137254</v>
      </c>
      <c r="J622">
        <f t="shared" si="482"/>
        <v>15</v>
      </c>
      <c r="M622">
        <f t="shared" si="528"/>
        <v>1.9944228480420602E-4</v>
      </c>
      <c r="N622">
        <f t="shared" si="484"/>
        <v>-1.5707963250000001</v>
      </c>
      <c r="O622">
        <f t="shared" si="529"/>
        <v>452.39044684131147</v>
      </c>
      <c r="P622">
        <f t="shared" si="486"/>
        <v>1.5685858450719641</v>
      </c>
      <c r="Q622">
        <f t="shared" si="530"/>
        <v>476.00511564155812</v>
      </c>
      <c r="R622">
        <f t="shared" si="488"/>
        <v>1.5686955074912508</v>
      </c>
      <c r="S622">
        <f t="shared" si="531"/>
        <v>0.70878582749113062</v>
      </c>
      <c r="T622">
        <f t="shared" si="490"/>
        <v>-0.78302080518755224</v>
      </c>
      <c r="U622">
        <f t="shared" si="491"/>
        <v>4.1962228135251391E-2</v>
      </c>
      <c r="V622">
        <f t="shared" si="492"/>
        <v>-1.5288217741763921</v>
      </c>
      <c r="X622">
        <f t="shared" si="532"/>
        <v>-66.85845085282476</v>
      </c>
      <c r="Y622">
        <f t="shared" si="533"/>
        <v>-154.3044035140006</v>
      </c>
      <c r="Z622">
        <f t="shared" si="510"/>
        <v>25.695596485999403</v>
      </c>
      <c r="AC622">
        <v>1</v>
      </c>
      <c r="AD622">
        <f t="shared" si="494"/>
        <v>452.38934160000002</v>
      </c>
      <c r="AE622">
        <f t="shared" si="495"/>
        <v>-11.369784244071198</v>
      </c>
      <c r="AF622">
        <f t="shared" si="496"/>
        <v>0.47752208280000003</v>
      </c>
      <c r="AG622">
        <f t="shared" si="535"/>
        <v>1.5803558536960156</v>
      </c>
      <c r="AH622">
        <f t="shared" si="536"/>
        <v>-39.722362103457144</v>
      </c>
      <c r="AJ622">
        <f t="shared" si="497"/>
        <v>10500</v>
      </c>
      <c r="AK622">
        <f t="shared" si="498"/>
        <v>10450.19379096</v>
      </c>
      <c r="AL622">
        <v>1</v>
      </c>
      <c r="AM622">
        <f t="shared" si="499"/>
        <v>476.00406523152009</v>
      </c>
      <c r="AN622">
        <f t="shared" si="537"/>
        <v>22.000245318069396</v>
      </c>
      <c r="AO622">
        <f t="shared" si="538"/>
        <v>-22.012416531748766</v>
      </c>
      <c r="AQ622">
        <f t="shared" si="500"/>
        <v>1.562499975585938E-4</v>
      </c>
      <c r="AR622">
        <f t="shared" si="501"/>
        <v>-1.2499999804687503</v>
      </c>
      <c r="AT622">
        <f t="shared" si="523"/>
        <v>-49.652704922895772</v>
      </c>
      <c r="AU622">
        <f t="shared" si="524"/>
        <v>-1.9816514052353813</v>
      </c>
      <c r="AV622">
        <f t="shared" si="511"/>
        <v>-3.1017035826948725</v>
      </c>
      <c r="AW622">
        <f t="shared" si="512"/>
        <v>-4.3512900066008511</v>
      </c>
      <c r="AX622">
        <f t="shared" si="513"/>
        <v>-89.692868874234307</v>
      </c>
      <c r="AY622">
        <f t="shared" si="521"/>
        <v>-1.6192715427086553</v>
      </c>
      <c r="BA622">
        <f t="shared" si="502"/>
        <v>0.55337576748625872</v>
      </c>
      <c r="BB622">
        <f t="shared" si="514"/>
        <v>-5.1395972536455687</v>
      </c>
      <c r="BC622">
        <f t="shared" si="515"/>
        <v>-1.4824320399862172</v>
      </c>
      <c r="BD622">
        <f t="shared" si="503"/>
        <v>-264.9370994032339</v>
      </c>
      <c r="BF622">
        <f t="shared" si="504"/>
        <v>-74.124365143178906</v>
      </c>
      <c r="BG622">
        <f t="shared" si="505"/>
        <v>-196.53566092205051</v>
      </c>
      <c r="BH622">
        <f t="shared" si="516"/>
        <v>-16.535660922050511</v>
      </c>
      <c r="BI622">
        <f t="shared" si="517"/>
        <v>-16.535660922050511</v>
      </c>
      <c r="BJ622">
        <f t="shared" si="506"/>
        <v>0</v>
      </c>
      <c r="BK622">
        <f t="shared" si="518"/>
        <v>0</v>
      </c>
      <c r="BM622">
        <f t="shared" si="519"/>
        <v>-68.98476788953333</v>
      </c>
      <c r="BN622">
        <f t="shared" si="507"/>
        <v>-111.59856151881661</v>
      </c>
      <c r="BQ622" s="56">
        <f t="shared" si="520"/>
        <v>11.762363546639566</v>
      </c>
    </row>
    <row r="623" spans="1:69" x14ac:dyDescent="0.2">
      <c r="A623">
        <f>A622+250000</f>
        <v>4250000</v>
      </c>
      <c r="B623">
        <f t="shared" si="508"/>
        <v>4250</v>
      </c>
      <c r="C623">
        <f t="shared" si="477"/>
        <v>2.8514538683785209</v>
      </c>
      <c r="D623">
        <f t="shared" si="526"/>
        <v>1.21247967835721</v>
      </c>
      <c r="F623">
        <f t="shared" si="479"/>
        <v>7.759951761813936E-6</v>
      </c>
      <c r="G623">
        <f t="shared" si="527"/>
        <v>1.616746660255327E-3</v>
      </c>
      <c r="H623">
        <f t="shared" si="481"/>
        <v>-3.139975903339745</v>
      </c>
      <c r="J623">
        <f t="shared" si="482"/>
        <v>15</v>
      </c>
      <c r="M623">
        <f t="shared" si="528"/>
        <v>1.8771038569807624E-4</v>
      </c>
      <c r="N623">
        <f t="shared" si="484"/>
        <v>-1.5707963250000001</v>
      </c>
      <c r="O623">
        <f t="shared" si="529"/>
        <v>480.66471567726177</v>
      </c>
      <c r="P623">
        <f t="shared" si="486"/>
        <v>1.5687158730216824</v>
      </c>
      <c r="Q623">
        <f t="shared" si="530"/>
        <v>505.75530792982693</v>
      </c>
      <c r="R623">
        <f t="shared" si="488"/>
        <v>1.5688190847651995</v>
      </c>
      <c r="S623">
        <f t="shared" si="531"/>
        <v>0.68709103167251417</v>
      </c>
      <c r="T623">
        <f t="shared" si="490"/>
        <v>-0.81331858557345438</v>
      </c>
      <c r="U623">
        <f t="shared" si="491"/>
        <v>3.9497832759669282E-2</v>
      </c>
      <c r="V623">
        <f t="shared" si="492"/>
        <v>-1.5312882168634445</v>
      </c>
      <c r="X623">
        <f t="shared" si="532"/>
        <v>-67.722496573304809</v>
      </c>
      <c r="Y623">
        <f t="shared" si="533"/>
        <v>-155.00596203453028</v>
      </c>
      <c r="Z623">
        <f t="shared" si="510"/>
        <v>24.994037965469715</v>
      </c>
      <c r="AC623">
        <v>1</v>
      </c>
      <c r="AD623">
        <f t="shared" si="494"/>
        <v>480.66367545000003</v>
      </c>
      <c r="AE623">
        <f t="shared" si="495"/>
        <v>-12.8354204942835</v>
      </c>
      <c r="AF623">
        <f t="shared" si="496"/>
        <v>0.50736721297499998</v>
      </c>
      <c r="AG623">
        <f t="shared" si="535"/>
        <v>1.400181520327701</v>
      </c>
      <c r="AH623">
        <f t="shared" si="536"/>
        <v>-37.392874621297267</v>
      </c>
      <c r="AJ623">
        <f t="shared" si="497"/>
        <v>10500</v>
      </c>
      <c r="AK623">
        <f t="shared" si="498"/>
        <v>11103.330902895001</v>
      </c>
      <c r="AL623">
        <v>1</v>
      </c>
      <c r="AM623">
        <f t="shared" si="499"/>
        <v>505.75431930849004</v>
      </c>
      <c r="AN623">
        <f t="shared" si="537"/>
        <v>21.994964861686128</v>
      </c>
      <c r="AO623">
        <f t="shared" si="538"/>
        <v>-20.717578941223334</v>
      </c>
      <c r="AQ623">
        <f t="shared" si="500"/>
        <v>1.3840830258258404E-4</v>
      </c>
      <c r="AR623">
        <f t="shared" si="501"/>
        <v>-1.1764705719519644</v>
      </c>
      <c r="AT623">
        <f t="shared" si="523"/>
        <v>-43.991422795898153</v>
      </c>
      <c r="AU623">
        <f t="shared" si="524"/>
        <v>-1.6524478383615187</v>
      </c>
      <c r="AV623">
        <f t="shared" si="511"/>
        <v>-3.1040473503732744</v>
      </c>
      <c r="AW623">
        <f t="shared" si="512"/>
        <v>-1.34737772290849</v>
      </c>
      <c r="AX623">
        <f t="shared" si="513"/>
        <v>-84.415481605622858</v>
      </c>
      <c r="AY623">
        <f t="shared" si="521"/>
        <v>-1.5867562347950559</v>
      </c>
      <c r="BA623">
        <f t="shared" si="502"/>
        <v>0.52143090201404818</v>
      </c>
      <c r="BB623">
        <f t="shared" si="514"/>
        <v>-5.6560646886512522</v>
      </c>
      <c r="BC623">
        <f t="shared" si="515"/>
        <v>-1.5172911155782185</v>
      </c>
      <c r="BD623">
        <f t="shared" si="503"/>
        <v>-266.93437731466531</v>
      </c>
      <c r="BF623">
        <f t="shared" si="504"/>
        <v>-75.235732079502185</v>
      </c>
      <c r="BG623">
        <f t="shared" si="505"/>
        <v>-197.37177615975628</v>
      </c>
      <c r="BH623">
        <f t="shared" si="516"/>
        <v>-17.37177615975628</v>
      </c>
      <c r="BI623">
        <f t="shared" si="517"/>
        <v>-17.37177615975628</v>
      </c>
      <c r="BJ623">
        <f t="shared" si="506"/>
        <v>0</v>
      </c>
      <c r="BK623">
        <f t="shared" si="518"/>
        <v>0</v>
      </c>
      <c r="BM623">
        <f t="shared" si="519"/>
        <v>-69.579667390850929</v>
      </c>
      <c r="BN623">
        <f t="shared" si="507"/>
        <v>-110.43739884509095</v>
      </c>
      <c r="BQ623" s="56">
        <f t="shared" si="520"/>
        <v>11.245896111633884</v>
      </c>
    </row>
    <row r="624" spans="1:69" x14ac:dyDescent="0.2">
      <c r="A624">
        <f t="shared" si="534"/>
        <v>4500000</v>
      </c>
      <c r="B624">
        <f t="shared" si="508"/>
        <v>4500</v>
      </c>
      <c r="C624">
        <f t="shared" si="477"/>
        <v>2.9990631114754089</v>
      </c>
      <c r="D624">
        <f t="shared" si="526"/>
        <v>1.2308489673200769</v>
      </c>
      <c r="F624">
        <f t="shared" si="479"/>
        <v>6.9216804267496937E-6</v>
      </c>
      <c r="G624">
        <f t="shared" si="527"/>
        <v>1.5269262394973086E-3</v>
      </c>
      <c r="H624">
        <f t="shared" si="481"/>
        <v>-3.140065723760503</v>
      </c>
      <c r="J624">
        <f t="shared" si="482"/>
        <v>15</v>
      </c>
      <c r="M624">
        <f t="shared" si="528"/>
        <v>1.7728203093707201E-4</v>
      </c>
      <c r="N624">
        <f t="shared" si="484"/>
        <v>-1.5707963250000001</v>
      </c>
      <c r="O624">
        <f t="shared" si="529"/>
        <v>508.93899173697321</v>
      </c>
      <c r="P624">
        <f t="shared" si="486"/>
        <v>1.5688314534806278</v>
      </c>
      <c r="Q624">
        <f t="shared" si="530"/>
        <v>535.50550708348794</v>
      </c>
      <c r="R624">
        <f t="shared" si="488"/>
        <v>1.5689289312817472</v>
      </c>
      <c r="S624">
        <f t="shared" si="531"/>
        <v>0.66612708202368964</v>
      </c>
      <c r="T624">
        <f t="shared" si="490"/>
        <v>-0.84179236517498457</v>
      </c>
      <c r="U624">
        <f t="shared" si="491"/>
        <v>3.7306652439590429E-2</v>
      </c>
      <c r="V624">
        <f t="shared" si="492"/>
        <v>-1.533481015116166</v>
      </c>
      <c r="X624">
        <f t="shared" si="532"/>
        <v>-68.545476703065177</v>
      </c>
      <c r="Y624">
        <f t="shared" si="533"/>
        <v>-155.70277510499534</v>
      </c>
      <c r="Z624">
        <f t="shared" si="510"/>
        <v>24.297224895004661</v>
      </c>
      <c r="AC624">
        <v>1</v>
      </c>
      <c r="AD624">
        <f t="shared" si="494"/>
        <v>508.93800930000003</v>
      </c>
      <c r="AE624">
        <f t="shared" si="495"/>
        <v>-14.389883183902608</v>
      </c>
      <c r="AF624">
        <f t="shared" si="496"/>
        <v>0.53721234314999999</v>
      </c>
      <c r="AG624">
        <f t="shared" si="535"/>
        <v>1.2491378572423288</v>
      </c>
      <c r="AH624">
        <f t="shared" si="536"/>
        <v>-35.321131556743396</v>
      </c>
      <c r="AJ624">
        <f t="shared" si="497"/>
        <v>10500</v>
      </c>
      <c r="AK624">
        <f t="shared" si="498"/>
        <v>11756.468014830001</v>
      </c>
      <c r="AL624">
        <v>1</v>
      </c>
      <c r="AM624">
        <f t="shared" si="499"/>
        <v>535.50457338546005</v>
      </c>
      <c r="AN624">
        <f t="shared" si="537"/>
        <v>21.990539783775638</v>
      </c>
      <c r="AO624">
        <f t="shared" si="538"/>
        <v>-19.566610596757833</v>
      </c>
      <c r="AQ624">
        <f t="shared" si="500"/>
        <v>1.234567885992989E-4</v>
      </c>
      <c r="AR624">
        <f t="shared" si="501"/>
        <v>-1.1111110973936902</v>
      </c>
      <c r="AT624">
        <f t="shared" si="523"/>
        <v>-39.245547030651679</v>
      </c>
      <c r="AU624">
        <f t="shared" si="524"/>
        <v>-1.3922915688282156</v>
      </c>
      <c r="AV624">
        <f t="shared" si="511"/>
        <v>-3.1061311041146773</v>
      </c>
      <c r="AW624">
        <f t="shared" si="512"/>
        <v>1.1698915443693607</v>
      </c>
      <c r="AX624">
        <f t="shared" si="513"/>
        <v>-79.724676647210259</v>
      </c>
      <c r="AY624">
        <f t="shared" si="521"/>
        <v>-1.5561232339298217</v>
      </c>
      <c r="BA624">
        <f t="shared" si="502"/>
        <v>0.49252013704126613</v>
      </c>
      <c r="BB624">
        <f t="shared" si="514"/>
        <v>-6.1515201672006814</v>
      </c>
      <c r="BC624">
        <f t="shared" si="515"/>
        <v>-1.5500078701848556</v>
      </c>
      <c r="BD624">
        <f t="shared" si="503"/>
        <v>-268.80890927513281</v>
      </c>
      <c r="BF624">
        <f t="shared" si="504"/>
        <v>-76.285752003636588</v>
      </c>
      <c r="BG624">
        <f t="shared" si="505"/>
        <v>-198.198971719822</v>
      </c>
      <c r="BH624">
        <f t="shared" si="516"/>
        <v>-18.198971719821998</v>
      </c>
      <c r="BI624">
        <f t="shared" si="517"/>
        <v>-18.198971719821998</v>
      </c>
      <c r="BJ624">
        <f t="shared" si="506"/>
        <v>0</v>
      </c>
      <c r="BK624">
        <f t="shared" si="518"/>
        <v>0</v>
      </c>
      <c r="BM624">
        <f t="shared" si="519"/>
        <v>-70.134231836435902</v>
      </c>
      <c r="BN624">
        <f t="shared" si="507"/>
        <v>-109.39006244468922</v>
      </c>
      <c r="BQ624" s="56">
        <f t="shared" si="520"/>
        <v>10.750440633084455</v>
      </c>
    </row>
    <row r="625" spans="1:69" x14ac:dyDescent="0.2">
      <c r="A625">
        <f t="shared" si="534"/>
        <v>4750000</v>
      </c>
      <c r="B625">
        <f t="shared" si="508"/>
        <v>4750</v>
      </c>
      <c r="C625">
        <f t="shared" si="477"/>
        <v>3.1475892285409413</v>
      </c>
      <c r="D625">
        <f t="shared" si="526"/>
        <v>1.2474898464184794</v>
      </c>
      <c r="F625">
        <f t="shared" si="479"/>
        <v>6.2122523640691266E-6</v>
      </c>
      <c r="G625">
        <f t="shared" si="527"/>
        <v>1.4465607690512089E-3</v>
      </c>
      <c r="H625">
        <f t="shared" si="481"/>
        <v>-3.140146089230949</v>
      </c>
      <c r="J625">
        <f t="shared" si="482"/>
        <v>15</v>
      </c>
      <c r="M625">
        <f t="shared" si="528"/>
        <v>1.6795139772985771E-4</v>
      </c>
      <c r="N625">
        <f t="shared" si="484"/>
        <v>-1.5707963250000001</v>
      </c>
      <c r="O625">
        <f t="shared" si="529"/>
        <v>537.21327387985605</v>
      </c>
      <c r="P625">
        <f t="shared" si="486"/>
        <v>1.5689348676200645</v>
      </c>
      <c r="Q625">
        <f t="shared" si="530"/>
        <v>565.25571201853541</v>
      </c>
      <c r="R625">
        <f t="shared" si="488"/>
        <v>1.5690272150453572</v>
      </c>
      <c r="S625">
        <f t="shared" si="531"/>
        <v>0.64592664297135383</v>
      </c>
      <c r="T625">
        <f t="shared" si="490"/>
        <v>-0.86855982840117552</v>
      </c>
      <c r="U625">
        <f t="shared" si="491"/>
        <v>3.5345665508723451E-2</v>
      </c>
      <c r="V625">
        <f t="shared" si="492"/>
        <v>-1.5354432974942327</v>
      </c>
      <c r="X625">
        <f t="shared" si="532"/>
        <v>-69.331738430995046</v>
      </c>
      <c r="Y625">
        <f t="shared" si="533"/>
        <v>-156.38846429935532</v>
      </c>
      <c r="Z625">
        <f t="shared" si="510"/>
        <v>23.61153570064468</v>
      </c>
      <c r="AC625">
        <v>1</v>
      </c>
      <c r="AD625">
        <f t="shared" si="494"/>
        <v>537.21234315000004</v>
      </c>
      <c r="AE625">
        <f t="shared" si="495"/>
        <v>-16.033172312928524</v>
      </c>
      <c r="AF625">
        <f t="shared" si="496"/>
        <v>0.56705747332500001</v>
      </c>
      <c r="AG625">
        <f t="shared" si="535"/>
        <v>1.1212698248268091</v>
      </c>
      <c r="AH625">
        <f t="shared" si="536"/>
        <v>-33.466647039247732</v>
      </c>
      <c r="AJ625">
        <f t="shared" si="497"/>
        <v>10500</v>
      </c>
      <c r="AK625">
        <f t="shared" si="498"/>
        <v>12409.605126765002</v>
      </c>
      <c r="AL625">
        <v>1</v>
      </c>
      <c r="AM625">
        <f t="shared" si="499"/>
        <v>565.25482746243006</v>
      </c>
      <c r="AN625">
        <f t="shared" si="537"/>
        <v>21.986794837595053</v>
      </c>
      <c r="AO625">
        <f t="shared" si="538"/>
        <v>-18.536795611637359</v>
      </c>
      <c r="AQ625">
        <f t="shared" si="500"/>
        <v>1.1080332287198534E-4</v>
      </c>
      <c r="AR625">
        <f t="shared" si="501"/>
        <v>-1.0526315672838606</v>
      </c>
      <c r="AT625">
        <f t="shared" si="523"/>
        <v>-35.227924884236685</v>
      </c>
      <c r="AU625">
        <f t="shared" si="524"/>
        <v>-1.1839922287528766</v>
      </c>
      <c r="AV625">
        <f t="shared" si="511"/>
        <v>-3.1079958203064555</v>
      </c>
      <c r="AW625">
        <f t="shared" si="512"/>
        <v>3.3002290220621044</v>
      </c>
      <c r="AX625">
        <f t="shared" si="513"/>
        <v>-75.527795424841855</v>
      </c>
      <c r="AY625">
        <f t="shared" si="521"/>
        <v>-1.5271285482129373</v>
      </c>
      <c r="BA625">
        <f t="shared" si="502"/>
        <v>0.4662417922354547</v>
      </c>
      <c r="BB625">
        <f t="shared" si="514"/>
        <v>-6.6277760095407769</v>
      </c>
      <c r="BC625">
        <f t="shared" si="515"/>
        <v>-1.5808672720935182</v>
      </c>
      <c r="BD625">
        <f t="shared" si="503"/>
        <v>-270.57702276481746</v>
      </c>
      <c r="BF625">
        <f t="shared" si="504"/>
        <v>-77.281408019435403</v>
      </c>
      <c r="BG625">
        <f t="shared" si="505"/>
        <v>-199.01823767097167</v>
      </c>
      <c r="BH625">
        <f t="shared" si="516"/>
        <v>-19.018237670971672</v>
      </c>
      <c r="BI625">
        <f t="shared" si="517"/>
        <v>-19.018237670971672</v>
      </c>
      <c r="BJ625">
        <f t="shared" si="506"/>
        <v>0</v>
      </c>
      <c r="BK625">
        <f t="shared" si="518"/>
        <v>0</v>
      </c>
      <c r="BM625">
        <f t="shared" si="519"/>
        <v>-70.653632009894636</v>
      </c>
      <c r="BN625">
        <f t="shared" si="507"/>
        <v>-108.44121490615422</v>
      </c>
      <c r="BQ625" s="56">
        <f t="shared" si="520"/>
        <v>10.274184790744361</v>
      </c>
    </row>
    <row r="626" spans="1:69" x14ac:dyDescent="0.2">
      <c r="A626">
        <f t="shared" si="534"/>
        <v>5000000</v>
      </c>
      <c r="B626">
        <f t="shared" si="508"/>
        <v>5000</v>
      </c>
      <c r="C626">
        <f t="shared" si="477"/>
        <v>3.2969083060549353</v>
      </c>
      <c r="D626">
        <f t="shared" si="526"/>
        <v>1.2626272553486519</v>
      </c>
      <c r="F626">
        <f t="shared" si="479"/>
        <v>5.6065548667282503E-6</v>
      </c>
      <c r="G626">
        <f t="shared" si="527"/>
        <v>1.3742319750443912E-3</v>
      </c>
      <c r="H626">
        <f t="shared" si="481"/>
        <v>-3.1402184180249559</v>
      </c>
      <c r="J626">
        <f t="shared" si="482"/>
        <v>15</v>
      </c>
      <c r="M626">
        <f t="shared" si="528"/>
        <v>1.5955382784336482E-4</v>
      </c>
      <c r="N626">
        <f t="shared" si="484"/>
        <v>-1.5707963250000001</v>
      </c>
      <c r="O626">
        <f t="shared" si="529"/>
        <v>565.48756119343807</v>
      </c>
      <c r="P626">
        <f t="shared" si="486"/>
        <v>1.5690279403796621</v>
      </c>
      <c r="Q626">
        <f t="shared" si="530"/>
        <v>595.0059218677643</v>
      </c>
      <c r="R626">
        <f t="shared" si="488"/>
        <v>1.5691156704618827</v>
      </c>
      <c r="S626">
        <f t="shared" si="531"/>
        <v>0.62650543641809142</v>
      </c>
      <c r="T626">
        <f t="shared" si="490"/>
        <v>-0.89373479948105183</v>
      </c>
      <c r="U626">
        <f t="shared" si="491"/>
        <v>3.358042748324671E-2</v>
      </c>
      <c r="V626">
        <f t="shared" si="492"/>
        <v>-1.5372095849728347</v>
      </c>
      <c r="X626">
        <f t="shared" si="532"/>
        <v>-70.084863181635612</v>
      </c>
      <c r="Y626">
        <f t="shared" si="533"/>
        <v>-157.05851840210926</v>
      </c>
      <c r="Z626">
        <f t="shared" si="510"/>
        <v>22.941481597890743</v>
      </c>
      <c r="AC626">
        <v>1</v>
      </c>
      <c r="AD626">
        <f t="shared" si="494"/>
        <v>565.48667699999999</v>
      </c>
      <c r="AE626">
        <f t="shared" si="495"/>
        <v>-17.765287881361246</v>
      </c>
      <c r="AF626">
        <f t="shared" si="496"/>
        <v>0.59690260349999991</v>
      </c>
      <c r="AG626">
        <f t="shared" si="535"/>
        <v>1.0120692953635986</v>
      </c>
      <c r="AH626">
        <f t="shared" si="536"/>
        <v>-31.796983757033917</v>
      </c>
      <c r="AJ626">
        <f t="shared" si="497"/>
        <v>10500</v>
      </c>
      <c r="AK626">
        <f t="shared" si="498"/>
        <v>13062.742238700001</v>
      </c>
      <c r="AL626">
        <v>1</v>
      </c>
      <c r="AM626">
        <f t="shared" si="499"/>
        <v>595.00508153940007</v>
      </c>
      <c r="AN626">
        <f t="shared" si="537"/>
        <v>21.983597461156467</v>
      </c>
      <c r="AO626">
        <f t="shared" si="538"/>
        <v>-17.60996120475151</v>
      </c>
      <c r="AQ626">
        <f t="shared" si="500"/>
        <v>9.9999999000000009E-5</v>
      </c>
      <c r="AR626">
        <f t="shared" si="501"/>
        <v>-0.99999999000000006</v>
      </c>
      <c r="AT626">
        <f t="shared" si="523"/>
        <v>-31.796882232135559</v>
      </c>
      <c r="AU626">
        <f t="shared" si="524"/>
        <v>-1.0152489835868119</v>
      </c>
      <c r="AV626">
        <f t="shared" si="511"/>
        <v>-3.109674298183299</v>
      </c>
      <c r="AW626">
        <f t="shared" si="512"/>
        <v>5.1190567243935936</v>
      </c>
      <c r="AX626">
        <f t="shared" si="513"/>
        <v>-71.7507204954195</v>
      </c>
      <c r="AY626">
        <f t="shared" si="521"/>
        <v>-1.4995719879318747</v>
      </c>
      <c r="BA626">
        <f t="shared" si="502"/>
        <v>0.44225936170540969</v>
      </c>
      <c r="BB626">
        <f t="shared" si="514"/>
        <v>-7.0864593043074073</v>
      </c>
      <c r="BC626">
        <f t="shared" si="515"/>
        <v>-1.6101023102514243</v>
      </c>
      <c r="BD626">
        <f t="shared" si="503"/>
        <v>-272.25206706708343</v>
      </c>
      <c r="BF626">
        <f t="shared" si="504"/>
        <v>-78.228575217983945</v>
      </c>
      <c r="BG626">
        <f t="shared" si="505"/>
        <v>-199.83011646242267</v>
      </c>
      <c r="BH626">
        <f t="shared" si="516"/>
        <v>-19.830116462422666</v>
      </c>
      <c r="BI626">
        <f t="shared" si="517"/>
        <v>-19.830116462422666</v>
      </c>
      <c r="BJ626">
        <f t="shared" si="506"/>
        <v>0</v>
      </c>
      <c r="BK626">
        <f t="shared" si="518"/>
        <v>0</v>
      </c>
      <c r="BM626">
        <f t="shared" si="519"/>
        <v>-71.14211591367652</v>
      </c>
      <c r="BN626">
        <f t="shared" si="507"/>
        <v>-107.57804939533925</v>
      </c>
      <c r="BQ626" s="56">
        <f t="shared" si="520"/>
        <v>9.8155014959777294</v>
      </c>
    </row>
    <row r="627" spans="1:69" x14ac:dyDescent="0.2">
      <c r="A627">
        <f>A626+100000</f>
        <v>5100000</v>
      </c>
      <c r="B627">
        <f t="shared" si="508"/>
        <v>5100</v>
      </c>
      <c r="C627">
        <f t="shared" ref="C627:C676" si="539">SQRT((A627/Fesr)^2+1)</f>
        <v>3.3568342817939043</v>
      </c>
      <c r="D627">
        <f t="shared" ref="D627:D676" si="540">ATAN(A627/Fesr)</f>
        <v>1.2683046022349502</v>
      </c>
      <c r="F627">
        <f t="shared" ref="F627:F676" si="541">(Ro/(Ro+Rdcr))/SQRT((A627/(Q*Fo))^2+(1-(A627^2/Fo^2))^2)</f>
        <v>5.3888445091224907E-6</v>
      </c>
      <c r="G627">
        <f t="shared" ref="G627:G676" si="542">-ATAN(A627*Fo/(Q*(Fo^2-A627^2)))</f>
        <v>1.3472859837940099E-3</v>
      </c>
      <c r="H627">
        <f t="shared" si="481"/>
        <v>-3.1402453640162062</v>
      </c>
      <c r="J627">
        <f t="shared" si="482"/>
        <v>15</v>
      </c>
      <c r="M627">
        <f t="shared" ref="M627:M676" si="543">1/(2*Pi*_Rfb1*(Cc1ea_u+Cc2ea_u)*A627)</f>
        <v>1.5642532141506353E-4</v>
      </c>
      <c r="N627">
        <f t="shared" si="484"/>
        <v>-1.5707963250000001</v>
      </c>
      <c r="O627">
        <f t="shared" ref="O627:O676" si="544">SQRT(1+(A627/Fz1_u)^2)</f>
        <v>576.79727739633813</v>
      </c>
      <c r="P627">
        <f t="shared" si="486"/>
        <v>1.5690626145529216</v>
      </c>
      <c r="Q627">
        <f t="shared" ref="Q627:Q676" si="545">SQRT(1+(A627/Fz2_u)^2)</f>
        <v>606.90600702154813</v>
      </c>
      <c r="R627">
        <f t="shared" si="488"/>
        <v>1.5691486244473867</v>
      </c>
      <c r="S627">
        <f t="shared" ref="S627:S676" si="546">1/SQRT(1+(A627/Fp1_u)^2)</f>
        <v>0.61895606987040874</v>
      </c>
      <c r="T627">
        <f t="shared" si="490"/>
        <v>-0.90338344747303811</v>
      </c>
      <c r="U627">
        <f t="shared" ref="U627:U676" si="547">1/SQRT(1+(A627/Fp2_u)^2)</f>
        <v>3.2922708543611526E-2</v>
      </c>
      <c r="V627">
        <f t="shared" si="492"/>
        <v>-1.5378676678351746</v>
      </c>
      <c r="X627">
        <f t="shared" ref="X627:X676" si="548">20*LOG(C627*J627*O627*Q627*F627*M627*S627*U627)</f>
        <v>-70.377522183989839</v>
      </c>
      <c r="Y627">
        <f t="shared" ref="Y627:Y676" si="549">(180/Pi)*(D627+H627+N627+P627+R627+T627+V627)</f>
        <v>-157.32143164902325</v>
      </c>
      <c r="Z627">
        <f t="shared" si="510"/>
        <v>22.678568350976747</v>
      </c>
      <c r="AC627">
        <v>1</v>
      </c>
      <c r="AD627">
        <f t="shared" ref="AD627:AD676" si="550">Rcea1_u*Cc1ea_u*A627*2*Pi</f>
        <v>576.79641054000001</v>
      </c>
      <c r="AE627">
        <f t="shared" ref="AE627:AE676" si="551">-Rcea1_u*Cc1ea_u*Cc2ea_u*(A627*2*Pi)^2</f>
        <v>-18.483005511768237</v>
      </c>
      <c r="AF627">
        <f t="shared" ref="AF627:AF676" si="552">(Cc2ea_u+Cc1ea_u)*A627*2*Pi</f>
        <v>0.60884065557</v>
      </c>
      <c r="AG627">
        <f t="shared" ref="AG627:AG676" si="553">AC627*AE627/(AE627^2+AF627^2)+AD627*AF627/(AE627^2+AF627^2)</f>
        <v>0.97281200848371019</v>
      </c>
      <c r="AH627">
        <f t="shared" ref="AH627:AH676" si="554">AD627*AE627/(AE627^2+AF627^2)-AC627*AF627/(AE627^2+AF627^2)</f>
        <v>-31.174806644521965</v>
      </c>
      <c r="AJ627">
        <f t="shared" si="497"/>
        <v>10500</v>
      </c>
      <c r="AK627">
        <f t="shared" ref="AK627:AK676" si="555">_Rfb1*Rcea2_u*Cc3ea_u*A627*2*Pi</f>
        <v>13323.997083474</v>
      </c>
      <c r="AL627">
        <v>2</v>
      </c>
      <c r="AM627">
        <f t="shared" ref="AM627:AM676" si="556">(_Rfb1+Rcea2_u)*Cc3ea_u*A627*2*Pi</f>
        <v>606.90518317018802</v>
      </c>
      <c r="AN627">
        <f t="shared" ref="AN627:AN676" si="557">AJ627*AL627/(AL627^2+AM627^2)+AK627*AM627/(AL627^2+AM627^2)</f>
        <v>22.010775596526255</v>
      </c>
      <c r="AO627">
        <f t="shared" ref="AO627:AO676" si="558">AK627*AL627/(AL627^2+AM627^2)-AJ627*AM627/(AL627^2+AM627^2)</f>
        <v>-17.228355826835784</v>
      </c>
      <c r="AQ627">
        <f t="shared" ref="AQ627:AQ676" si="559">Eadcg/(1+(Eadcg*A627/GBP)^2)</f>
        <v>9.6116877199953123E-5</v>
      </c>
      <c r="AR627">
        <f t="shared" ref="AR627:AR676" si="560">-(A627*Eadcg*Eadcg/GBP)/(1+(Eadcg*A627/GBP)^2)</f>
        <v>-0.98039214743952185</v>
      </c>
      <c r="AT627">
        <f t="shared" ref="AT627:AT676" si="561">-AR627*AH627+AG627*AQ627</f>
        <v>-30.563442128582405</v>
      </c>
      <c r="AU627">
        <f t="shared" ref="AU627:AU676" si="562">AQ627*AH627+AG627*AR627</f>
        <v>-0.95673367911428286</v>
      </c>
      <c r="AV627">
        <f t="shared" si="511"/>
        <v>-3.1102996676566739</v>
      </c>
      <c r="AW627">
        <f t="shared" si="512"/>
        <v>5.8373192886571719</v>
      </c>
      <c r="AX627">
        <f t="shared" si="513"/>
        <v>-70.335480773383125</v>
      </c>
      <c r="AY627">
        <f t="shared" si="521"/>
        <v>-1.4879935603632821</v>
      </c>
      <c r="BA627">
        <f t="shared" si="502"/>
        <v>0.43326135066925131</v>
      </c>
      <c r="BB627">
        <f t="shared" si="514"/>
        <v>-7.2650010145914106</v>
      </c>
      <c r="BC627">
        <f t="shared" si="515"/>
        <v>-1.6223061072933918</v>
      </c>
      <c r="BD627">
        <f t="shared" si="503"/>
        <v>-272.95129313242137</v>
      </c>
      <c r="BF627">
        <f t="shared" si="504"/>
        <v>-78.594664746777241</v>
      </c>
      <c r="BG627">
        <f t="shared" si="505"/>
        <v>-200.2055984035475</v>
      </c>
      <c r="BH627">
        <f t="shared" si="516"/>
        <v>-20.205598403547498</v>
      </c>
      <c r="BI627">
        <f t="shared" si="517"/>
        <v>-20.205598403547498</v>
      </c>
      <c r="BJ627">
        <f t="shared" si="506"/>
        <v>0</v>
      </c>
      <c r="BK627">
        <f t="shared" si="518"/>
        <v>0</v>
      </c>
      <c r="BM627">
        <f t="shared" si="519"/>
        <v>-71.329663732185821</v>
      </c>
      <c r="BN627">
        <f t="shared" si="507"/>
        <v>-107.25430527112611</v>
      </c>
      <c r="BQ627" s="56">
        <f t="shared" si="520"/>
        <v>9.6369597856937261</v>
      </c>
    </row>
    <row r="628" spans="1:69" x14ac:dyDescent="0.2">
      <c r="A628">
        <f t="shared" ref="A628:A676" si="563">A627+100000</f>
        <v>5200000</v>
      </c>
      <c r="B628">
        <f t="shared" si="508"/>
        <v>5200</v>
      </c>
      <c r="C628">
        <f t="shared" si="539"/>
        <v>3.4168646586925857</v>
      </c>
      <c r="D628">
        <f t="shared" si="540"/>
        <v>1.2737826316681082</v>
      </c>
      <c r="F628">
        <f t="shared" si="541"/>
        <v>5.1835732685309946E-6</v>
      </c>
      <c r="G628">
        <f t="shared" si="542"/>
        <v>1.3213763917423907E-3</v>
      </c>
      <c r="H628">
        <f t="shared" si="481"/>
        <v>-3.1402712736082576</v>
      </c>
      <c r="J628">
        <f t="shared" si="482"/>
        <v>15</v>
      </c>
      <c r="M628">
        <f t="shared" si="543"/>
        <v>1.5341714215708153E-4</v>
      </c>
      <c r="N628">
        <f t="shared" si="484"/>
        <v>-1.5707963250000001</v>
      </c>
      <c r="O628">
        <f t="shared" si="544"/>
        <v>588.10699426604822</v>
      </c>
      <c r="P628">
        <f t="shared" si="486"/>
        <v>1.5690959551080652</v>
      </c>
      <c r="Q628">
        <f t="shared" si="545"/>
        <v>618.80609280906162</v>
      </c>
      <c r="R628">
        <f t="shared" si="488"/>
        <v>1.5691803109752853</v>
      </c>
      <c r="S628">
        <f t="shared" si="546"/>
        <v>0.61153156513897666</v>
      </c>
      <c r="T628">
        <f t="shared" si="490"/>
        <v>-0.91280147984894666</v>
      </c>
      <c r="U628">
        <f t="shared" si="547"/>
        <v>3.2290246136511852E-2</v>
      </c>
      <c r="V628">
        <f t="shared" si="492"/>
        <v>-1.538500466732633</v>
      </c>
      <c r="X628">
        <f t="shared" si="548"/>
        <v>-70.665533485702085</v>
      </c>
      <c r="Y628">
        <f t="shared" si="549"/>
        <v>-157.58119262817476</v>
      </c>
      <c r="Z628">
        <f t="shared" si="510"/>
        <v>22.418807371825238</v>
      </c>
      <c r="AC628">
        <v>1</v>
      </c>
      <c r="AD628">
        <f t="shared" si="550"/>
        <v>588.10614408000015</v>
      </c>
      <c r="AE628">
        <f t="shared" si="551"/>
        <v>-19.214935372480323</v>
      </c>
      <c r="AF628">
        <f t="shared" si="552"/>
        <v>0.62077870763999998</v>
      </c>
      <c r="AG628">
        <f t="shared" si="553"/>
        <v>0.93579456664906335</v>
      </c>
      <c r="AH628">
        <f t="shared" si="554"/>
        <v>-30.576487058070171</v>
      </c>
      <c r="AJ628">
        <f t="shared" si="497"/>
        <v>10500</v>
      </c>
      <c r="AK628">
        <f t="shared" si="555"/>
        <v>13585.251928248003</v>
      </c>
      <c r="AL628">
        <v>3</v>
      </c>
      <c r="AM628">
        <f t="shared" si="556"/>
        <v>618.8052848009761</v>
      </c>
      <c r="AN628">
        <f t="shared" si="557"/>
        <v>22.035745838790135</v>
      </c>
      <c r="AO628">
        <f t="shared" si="558"/>
        <v>-16.861350442149892</v>
      </c>
      <c r="AQ628">
        <f t="shared" si="559"/>
        <v>9.2455620446970963E-5</v>
      </c>
      <c r="AR628">
        <f t="shared" si="560"/>
        <v>-0.96153845264849802</v>
      </c>
      <c r="AT628">
        <f t="shared" si="561"/>
        <v>-29.400381533776347</v>
      </c>
      <c r="AU628">
        <f t="shared" si="562"/>
        <v>-0.90262942769465482</v>
      </c>
      <c r="AV628">
        <f t="shared" si="511"/>
        <v>-3.1109010113685032</v>
      </c>
      <c r="AW628">
        <f t="shared" si="512"/>
        <v>6.5132709541098697</v>
      </c>
      <c r="AX628">
        <f t="shared" si="513"/>
        <v>-68.972390612415012</v>
      </c>
      <c r="AY628">
        <f t="shared" si="521"/>
        <v>-1.4766425222198467</v>
      </c>
      <c r="BA628">
        <f t="shared" si="502"/>
        <v>0.42457500085968258</v>
      </c>
      <c r="BB628">
        <f t="shared" si="514"/>
        <v>-7.4409116168868694</v>
      </c>
      <c r="BC628">
        <f t="shared" si="515"/>
        <v>-1.6342584891486565</v>
      </c>
      <c r="BD628">
        <f t="shared" si="503"/>
        <v>-273.63611416863932</v>
      </c>
      <c r="BF628">
        <f t="shared" si="504"/>
        <v>-78.953946068081791</v>
      </c>
      <c r="BG628">
        <f t="shared" si="505"/>
        <v>-200.57803598311355</v>
      </c>
      <c r="BH628">
        <f t="shared" si="516"/>
        <v>-20.578035983113551</v>
      </c>
      <c r="BI628">
        <f t="shared" si="517"/>
        <v>-20.578035983113551</v>
      </c>
      <c r="BJ628">
        <f t="shared" si="506"/>
        <v>0</v>
      </c>
      <c r="BK628">
        <f t="shared" si="518"/>
        <v>0</v>
      </c>
      <c r="BM628">
        <f t="shared" si="519"/>
        <v>-71.513034451194926</v>
      </c>
      <c r="BN628">
        <f t="shared" si="507"/>
        <v>-106.94192181447421</v>
      </c>
      <c r="BQ628" s="56">
        <f t="shared" si="520"/>
        <v>9.4610491833982664</v>
      </c>
    </row>
    <row r="629" spans="1:69" x14ac:dyDescent="0.2">
      <c r="A629">
        <f t="shared" si="563"/>
        <v>5300000</v>
      </c>
      <c r="B629">
        <f t="shared" si="508"/>
        <v>5300</v>
      </c>
      <c r="C629">
        <f t="shared" si="539"/>
        <v>3.4769940292903625</v>
      </c>
      <c r="D629">
        <f t="shared" si="540"/>
        <v>1.2790713467467048</v>
      </c>
      <c r="F629">
        <f t="shared" si="541"/>
        <v>4.9898112514638889E-6</v>
      </c>
      <c r="G629">
        <f t="shared" si="542"/>
        <v>1.296444533689641E-3</v>
      </c>
      <c r="H629">
        <f t="shared" si="481"/>
        <v>-3.1402962054663104</v>
      </c>
      <c r="J629">
        <f t="shared" si="482"/>
        <v>15</v>
      </c>
      <c r="M629">
        <f t="shared" si="543"/>
        <v>1.5052247909751399E-4</v>
      </c>
      <c r="N629">
        <f t="shared" si="484"/>
        <v>-1.5707963250000001</v>
      </c>
      <c r="O629">
        <f t="shared" si="544"/>
        <v>599.41671176482453</v>
      </c>
      <c r="P629">
        <f t="shared" si="486"/>
        <v>1.5691280375326224</v>
      </c>
      <c r="Q629">
        <f t="shared" si="545"/>
        <v>630.70617919443339</v>
      </c>
      <c r="R629">
        <f t="shared" si="488"/>
        <v>1.5692108017882145</v>
      </c>
      <c r="S629">
        <f t="shared" si="546"/>
        <v>0.60423136449165904</v>
      </c>
      <c r="T629">
        <f t="shared" si="490"/>
        <v>-0.92199545479344536</v>
      </c>
      <c r="U629">
        <f t="shared" si="547"/>
        <v>3.168161360254803E-2</v>
      </c>
      <c r="V629">
        <f t="shared" si="492"/>
        <v>-1.5391094108610259</v>
      </c>
      <c r="X629">
        <f t="shared" si="548"/>
        <v>-70.94905649801197</v>
      </c>
      <c r="Y629">
        <f t="shared" si="549"/>
        <v>-157.83768077302548</v>
      </c>
      <c r="Z629">
        <f t="shared" si="510"/>
        <v>22.162319226974518</v>
      </c>
      <c r="AC629">
        <v>1</v>
      </c>
      <c r="AD629">
        <f t="shared" si="550"/>
        <v>599.41587762000006</v>
      </c>
      <c r="AE629">
        <f t="shared" si="551"/>
        <v>-19.961077463497496</v>
      </c>
      <c r="AF629">
        <f t="shared" si="552"/>
        <v>0.63271675970999997</v>
      </c>
      <c r="AG629">
        <f t="shared" si="553"/>
        <v>0.90084981581555235</v>
      </c>
      <c r="AH629">
        <f t="shared" si="554"/>
        <v>-30.000679870044682</v>
      </c>
      <c r="AJ629">
        <f t="shared" si="497"/>
        <v>10500</v>
      </c>
      <c r="AK629">
        <f t="shared" si="555"/>
        <v>13846.506773022002</v>
      </c>
      <c r="AL629">
        <v>4</v>
      </c>
      <c r="AM629">
        <f t="shared" si="556"/>
        <v>630.70538643176405</v>
      </c>
      <c r="AN629">
        <f t="shared" si="557"/>
        <v>22.058697426834975</v>
      </c>
      <c r="AO629">
        <f t="shared" si="558"/>
        <v>-16.508127937827762</v>
      </c>
      <c r="AQ629">
        <f t="shared" si="559"/>
        <v>8.8999643209330341E-5</v>
      </c>
      <c r="AR629">
        <f t="shared" si="560"/>
        <v>-0.94339621801890161</v>
      </c>
      <c r="AT629">
        <f t="shared" si="561"/>
        <v>-28.302447752083754</v>
      </c>
      <c r="AU629">
        <f t="shared" si="562"/>
        <v>-0.85252835904788749</v>
      </c>
      <c r="AV629">
        <f t="shared" si="511"/>
        <v>-3.111479687295835</v>
      </c>
      <c r="AW629">
        <f t="shared" si="512"/>
        <v>7.1501132517310895</v>
      </c>
      <c r="AX629">
        <f t="shared" si="513"/>
        <v>-67.658692384200805</v>
      </c>
      <c r="AY629">
        <f t="shared" si="521"/>
        <v>-1.4655079704188931</v>
      </c>
      <c r="BA629">
        <f t="shared" si="502"/>
        <v>0.41618426612207482</v>
      </c>
      <c r="BB629">
        <f t="shared" si="514"/>
        <v>-7.614286847001237</v>
      </c>
      <c r="BC629">
        <f t="shared" si="515"/>
        <v>-1.6459717168769419</v>
      </c>
      <c r="BD629">
        <f t="shared" si="503"/>
        <v>-274.30723268271254</v>
      </c>
      <c r="BF629">
        <f t="shared" si="504"/>
        <v>-79.306700408288648</v>
      </c>
      <c r="BG629">
        <f t="shared" si="505"/>
        <v>-200.94756193403322</v>
      </c>
      <c r="BH629">
        <f t="shared" si="516"/>
        <v>-20.947561934033217</v>
      </c>
      <c r="BI629">
        <f t="shared" si="517"/>
        <v>-20.947561934033217</v>
      </c>
      <c r="BJ629">
        <f t="shared" si="506"/>
        <v>0</v>
      </c>
      <c r="BK629">
        <f t="shared" si="518"/>
        <v>0</v>
      </c>
      <c r="BM629">
        <f t="shared" si="519"/>
        <v>-71.69241356128741</v>
      </c>
      <c r="BN629">
        <f t="shared" si="507"/>
        <v>-106.64032925132067</v>
      </c>
      <c r="BQ629" s="56">
        <f t="shared" si="520"/>
        <v>9.2876739532838997</v>
      </c>
    </row>
    <row r="630" spans="1:69" x14ac:dyDescent="0.2">
      <c r="A630">
        <f t="shared" si="563"/>
        <v>5400000</v>
      </c>
      <c r="B630">
        <f t="shared" si="508"/>
        <v>5400</v>
      </c>
      <c r="C630">
        <f t="shared" si="539"/>
        <v>3.5372173451912854</v>
      </c>
      <c r="D630">
        <f t="shared" si="540"/>
        <v>1.2841801133966793</v>
      </c>
      <c r="F630">
        <f t="shared" si="541"/>
        <v>4.8067138614229365E-6</v>
      </c>
      <c r="G630">
        <f t="shared" si="542"/>
        <v>1.2724360901047514E-3</v>
      </c>
      <c r="H630">
        <f t="shared" si="481"/>
        <v>-3.1403202139098956</v>
      </c>
      <c r="J630">
        <f t="shared" si="482"/>
        <v>15</v>
      </c>
      <c r="M630">
        <f t="shared" si="543"/>
        <v>1.4773502578089334E-4</v>
      </c>
      <c r="N630">
        <f t="shared" si="484"/>
        <v>-1.5707963250000001</v>
      </c>
      <c r="O630">
        <f t="shared" si="544"/>
        <v>610.72642985771915</v>
      </c>
      <c r="P630">
        <f t="shared" si="486"/>
        <v>1.5691589317224794</v>
      </c>
      <c r="Q630">
        <f t="shared" si="545"/>
        <v>642.60626614444914</v>
      </c>
      <c r="R630">
        <f t="shared" si="488"/>
        <v>1.569240163314563</v>
      </c>
      <c r="S630">
        <f t="shared" si="546"/>
        <v>0.59705470689146356</v>
      </c>
      <c r="T630">
        <f t="shared" si="490"/>
        <v>-0.93097177377730322</v>
      </c>
      <c r="U630">
        <f t="shared" si="547"/>
        <v>3.1095489695099711E-2</v>
      </c>
      <c r="V630">
        <f t="shared" si="492"/>
        <v>-1.5396958237271368</v>
      </c>
      <c r="X630">
        <f t="shared" si="548"/>
        <v>-71.228241096422607</v>
      </c>
      <c r="Y630">
        <f t="shared" si="549"/>
        <v>-158.09079736563248</v>
      </c>
      <c r="Z630">
        <f t="shared" si="510"/>
        <v>21.909202634367517</v>
      </c>
      <c r="AC630">
        <v>1</v>
      </c>
      <c r="AD630">
        <f t="shared" si="550"/>
        <v>610.72561116000008</v>
      </c>
      <c r="AE630">
        <f t="shared" si="551"/>
        <v>-20.72143178481976</v>
      </c>
      <c r="AF630">
        <f t="shared" si="552"/>
        <v>0.64465481177999995</v>
      </c>
      <c r="AG630">
        <f t="shared" si="553"/>
        <v>0.86782590392933134</v>
      </c>
      <c r="AH630">
        <f t="shared" si="554"/>
        <v>-29.44613911584257</v>
      </c>
      <c r="AJ630">
        <f t="shared" si="497"/>
        <v>10500</v>
      </c>
      <c r="AK630">
        <f t="shared" si="555"/>
        <v>14107.761617796003</v>
      </c>
      <c r="AL630">
        <v>5</v>
      </c>
      <c r="AM630">
        <f t="shared" si="556"/>
        <v>642.60548806255213</v>
      </c>
      <c r="AN630">
        <f t="shared" si="557"/>
        <v>22.079800958515548</v>
      </c>
      <c r="AO630">
        <f t="shared" si="558"/>
        <v>-16.167930694977326</v>
      </c>
      <c r="AQ630">
        <f t="shared" si="559"/>
        <v>8.5733881295148485E-5</v>
      </c>
      <c r="AR630">
        <f t="shared" si="560"/>
        <v>-0.9259259179876036</v>
      </c>
      <c r="AT630">
        <f t="shared" si="561"/>
        <v>-27.26486898994418</v>
      </c>
      <c r="AU630">
        <f t="shared" si="562"/>
        <v>-0.8060670285447461</v>
      </c>
      <c r="AV630">
        <f t="shared" si="511"/>
        <v>-3.1120369530021224</v>
      </c>
      <c r="AW630">
        <f t="shared" si="512"/>
        <v>7.7507529221553453</v>
      </c>
      <c r="AX630">
        <f t="shared" si="513"/>
        <v>-66.391813841640271</v>
      </c>
      <c r="AY630">
        <f t="shared" si="521"/>
        <v>-1.4545797875550681</v>
      </c>
      <c r="BA630">
        <f t="shared" si="502"/>
        <v>0.40807418082597252</v>
      </c>
      <c r="BB630">
        <f t="shared" si="514"/>
        <v>-7.7852176502112078</v>
      </c>
      <c r="BC630">
        <f t="shared" si="515"/>
        <v>-1.6574571654470542</v>
      </c>
      <c r="BD630">
        <f t="shared" si="503"/>
        <v>-274.96530041234649</v>
      </c>
      <c r="BF630">
        <f t="shared" si="504"/>
        <v>-79.653192153609652</v>
      </c>
      <c r="BG630">
        <f t="shared" si="505"/>
        <v>-201.31429447826363</v>
      </c>
      <c r="BH630">
        <f t="shared" si="516"/>
        <v>-21.314294478263633</v>
      </c>
      <c r="BI630">
        <f t="shared" si="517"/>
        <v>-21.314294478263633</v>
      </c>
      <c r="BJ630">
        <f t="shared" si="506"/>
        <v>0</v>
      </c>
      <c r="BK630">
        <f t="shared" si="518"/>
        <v>0</v>
      </c>
      <c r="BM630">
        <f t="shared" si="519"/>
        <v>-71.867974503398443</v>
      </c>
      <c r="BN630">
        <f t="shared" si="507"/>
        <v>-106.34899406591715</v>
      </c>
      <c r="BQ630" s="56">
        <f t="shared" si="520"/>
        <v>9.1167431500739298</v>
      </c>
    </row>
    <row r="631" spans="1:69" x14ac:dyDescent="0.2">
      <c r="A631">
        <f t="shared" si="563"/>
        <v>5500000</v>
      </c>
      <c r="B631">
        <f t="shared" si="508"/>
        <v>5500</v>
      </c>
      <c r="C631">
        <f t="shared" si="539"/>
        <v>3.5975298884131832</v>
      </c>
      <c r="D631">
        <f t="shared" si="540"/>
        <v>1.2891177085241394</v>
      </c>
      <c r="F631">
        <f t="shared" si="541"/>
        <v>4.6335125793641121E-6</v>
      </c>
      <c r="G631">
        <f t="shared" si="542"/>
        <v>1.2493006920543304E-3</v>
      </c>
      <c r="H631">
        <f t="shared" si="481"/>
        <v>-3.1403433493079458</v>
      </c>
      <c r="J631">
        <f t="shared" si="482"/>
        <v>15</v>
      </c>
      <c r="M631">
        <f t="shared" si="543"/>
        <v>1.4504893440305891E-4</v>
      </c>
      <c r="N631">
        <f t="shared" si="484"/>
        <v>-1.5707963250000001</v>
      </c>
      <c r="O631">
        <f t="shared" si="544"/>
        <v>622.03614851232544</v>
      </c>
      <c r="P631">
        <f t="shared" si="486"/>
        <v>1.5691887024902089</v>
      </c>
      <c r="Q631">
        <f t="shared" si="545"/>
        <v>654.50635362831019</v>
      </c>
      <c r="R631">
        <f t="shared" si="488"/>
        <v>1.5692684571515834</v>
      </c>
      <c r="S631">
        <f t="shared" si="546"/>
        <v>0.59000065146069758</v>
      </c>
      <c r="T631">
        <f t="shared" si="490"/>
        <v>-0.93973667915748527</v>
      </c>
      <c r="U631">
        <f t="shared" si="547"/>
        <v>3.0530649025493996E-2</v>
      </c>
      <c r="V631">
        <f t="shared" si="492"/>
        <v>-1.5402609327380181</v>
      </c>
      <c r="X631">
        <f t="shared" si="548"/>
        <v>-71.503228455700707</v>
      </c>
      <c r="Y631">
        <f t="shared" si="549"/>
        <v>-158.34046315544862</v>
      </c>
      <c r="Z631">
        <f t="shared" si="510"/>
        <v>21.659536844551383</v>
      </c>
      <c r="AC631">
        <v>1</v>
      </c>
      <c r="AD631">
        <f t="shared" si="550"/>
        <v>622.0353447</v>
      </c>
      <c r="AE631">
        <f t="shared" si="551"/>
        <v>-21.495998336447112</v>
      </c>
      <c r="AF631">
        <f t="shared" si="552"/>
        <v>0.65659286385000004</v>
      </c>
      <c r="AG631">
        <f t="shared" si="553"/>
        <v>0.83658463072963563</v>
      </c>
      <c r="AH631">
        <f t="shared" si="554"/>
        <v>-28.911709029475873</v>
      </c>
      <c r="AJ631">
        <f t="shared" si="497"/>
        <v>10500</v>
      </c>
      <c r="AK631">
        <f t="shared" si="555"/>
        <v>14369.016462570002</v>
      </c>
      <c r="AL631">
        <v>6</v>
      </c>
      <c r="AM631">
        <f t="shared" si="556"/>
        <v>654.50558969334008</v>
      </c>
      <c r="AN631">
        <f t="shared" si="557"/>
        <v>22.099210491336919</v>
      </c>
      <c r="AO631">
        <f t="shared" si="558"/>
        <v>-15.840055303285475</v>
      </c>
      <c r="AQ631">
        <f t="shared" si="559"/>
        <v>8.26446274161601E-5</v>
      </c>
      <c r="AR631">
        <f t="shared" si="560"/>
        <v>-0.90909090157776118</v>
      </c>
      <c r="AT631">
        <f t="shared" si="561"/>
        <v>-26.283302488535011</v>
      </c>
      <c r="AU631">
        <f t="shared" si="562"/>
        <v>-0.76292087361680827</v>
      </c>
      <c r="AV631">
        <f t="shared" si="511"/>
        <v>-3.1125739747469439</v>
      </c>
      <c r="AW631">
        <f t="shared" si="512"/>
        <v>8.3178337413328727</v>
      </c>
      <c r="AX631">
        <f t="shared" si="513"/>
        <v>-65.169353363117978</v>
      </c>
      <c r="AY631">
        <f t="shared" si="521"/>
        <v>-1.4438485733760029</v>
      </c>
      <c r="BA631">
        <f t="shared" si="502"/>
        <v>0.40023077192734485</v>
      </c>
      <c r="BB631">
        <f t="shared" si="514"/>
        <v>-7.9537904696943702</v>
      </c>
      <c r="BC631">
        <f t="shared" si="515"/>
        <v>-1.6687254013709409</v>
      </c>
      <c r="BD631">
        <f t="shared" si="503"/>
        <v>-275.61092277408062</v>
      </c>
      <c r="BF631">
        <f t="shared" si="504"/>
        <v>-79.993670145213372</v>
      </c>
      <c r="BG631">
        <f t="shared" si="505"/>
        <v>-201.6783390385938</v>
      </c>
      <c r="BH631">
        <f t="shared" si="516"/>
        <v>-21.678339038593805</v>
      </c>
      <c r="BI631">
        <f t="shared" si="517"/>
        <v>-21.678339038593805</v>
      </c>
      <c r="BJ631">
        <f t="shared" si="506"/>
        <v>0</v>
      </c>
      <c r="BK631">
        <f t="shared" si="518"/>
        <v>0</v>
      </c>
      <c r="BM631">
        <f t="shared" si="519"/>
        <v>-72.039879675518989</v>
      </c>
      <c r="BN631">
        <f t="shared" si="507"/>
        <v>-106.0674162645132</v>
      </c>
      <c r="BQ631" s="56">
        <f t="shared" si="520"/>
        <v>8.9481703305907665</v>
      </c>
    </row>
    <row r="632" spans="1:69" x14ac:dyDescent="0.2">
      <c r="A632">
        <f t="shared" si="563"/>
        <v>5600000</v>
      </c>
      <c r="B632">
        <f t="shared" si="508"/>
        <v>5600</v>
      </c>
      <c r="C632">
        <f t="shared" si="539"/>
        <v>3.6579272453717664</v>
      </c>
      <c r="D632">
        <f t="shared" si="540"/>
        <v>1.2938923640463236</v>
      </c>
      <c r="F632">
        <f t="shared" si="541"/>
        <v>4.469506886161397E-6</v>
      </c>
      <c r="G632">
        <f t="shared" si="542"/>
        <v>1.2269915684616783E-3</v>
      </c>
      <c r="H632">
        <f t="shared" si="481"/>
        <v>-3.1403656584315387</v>
      </c>
      <c r="J632">
        <f t="shared" si="482"/>
        <v>15</v>
      </c>
      <c r="M632">
        <f t="shared" si="543"/>
        <v>1.4245877486014714E-4</v>
      </c>
      <c r="N632">
        <f t="shared" si="484"/>
        <v>-1.5707963250000001</v>
      </c>
      <c r="O632">
        <f t="shared" si="544"/>
        <v>633.34586769855196</v>
      </c>
      <c r="P632">
        <f t="shared" si="486"/>
        <v>1.5692174100189329</v>
      </c>
      <c r="Q632">
        <f t="shared" si="545"/>
        <v>666.40644161741795</v>
      </c>
      <c r="R632">
        <f t="shared" si="488"/>
        <v>1.5692957404967416</v>
      </c>
      <c r="S632">
        <f t="shared" si="546"/>
        <v>0.58306809900093204</v>
      </c>
      <c r="T632">
        <f t="shared" si="490"/>
        <v>-0.94829625272590368</v>
      </c>
      <c r="U632">
        <f t="shared" si="547"/>
        <v>2.9985953528487676E-2</v>
      </c>
      <c r="V632">
        <f t="shared" si="492"/>
        <v>-1.540805877765151</v>
      </c>
      <c r="X632">
        <f t="shared" si="548"/>
        <v>-71.774151793665467</v>
      </c>
      <c r="Y632">
        <f t="shared" si="549"/>
        <v>-158.58661621356515</v>
      </c>
      <c r="Z632">
        <f t="shared" si="510"/>
        <v>21.413383786434849</v>
      </c>
      <c r="AC632">
        <v>1</v>
      </c>
      <c r="AD632">
        <f t="shared" si="550"/>
        <v>633.34507824000002</v>
      </c>
      <c r="AE632">
        <f t="shared" si="551"/>
        <v>-22.284777118379541</v>
      </c>
      <c r="AF632">
        <f t="shared" si="552"/>
        <v>0.66853091592000002</v>
      </c>
      <c r="AG632">
        <f t="shared" si="553"/>
        <v>0.80700000144069128</v>
      </c>
      <c r="AH632">
        <f t="shared" si="554"/>
        <v>-28.396316033512321</v>
      </c>
      <c r="AJ632">
        <f t="shared" si="497"/>
        <v>10500</v>
      </c>
      <c r="AK632">
        <f t="shared" si="555"/>
        <v>14630.271307344001</v>
      </c>
      <c r="AL632">
        <v>7</v>
      </c>
      <c r="AM632">
        <f t="shared" si="556"/>
        <v>666.40569132412804</v>
      </c>
      <c r="AN632">
        <f t="shared" si="557"/>
        <v>22.117065376255727</v>
      </c>
      <c r="AO632">
        <f t="shared" si="558"/>
        <v>-15.523847825805099</v>
      </c>
      <c r="AQ632">
        <f t="shared" si="559"/>
        <v>7.9719387119583961E-5</v>
      </c>
      <c r="AR632">
        <f t="shared" si="560"/>
        <v>-0.89285713573934045</v>
      </c>
      <c r="AT632">
        <f t="shared" si="561"/>
        <v>-25.353789065685401</v>
      </c>
      <c r="AU632">
        <f t="shared" si="562"/>
        <v>-0.72279944673862484</v>
      </c>
      <c r="AV632">
        <f t="shared" si="511"/>
        <v>-3.1130918356219626</v>
      </c>
      <c r="AW632">
        <f t="shared" si="512"/>
        <v>8.8537644226277639</v>
      </c>
      <c r="AX632">
        <f t="shared" si="513"/>
        <v>-63.989066515443156</v>
      </c>
      <c r="AY632">
        <f t="shared" si="521"/>
        <v>-1.4333055831858879</v>
      </c>
      <c r="BA632">
        <f t="shared" si="502"/>
        <v>0.39264097931274888</v>
      </c>
      <c r="BB632">
        <f t="shared" si="514"/>
        <v>-8.1200875149627478</v>
      </c>
      <c r="BC632">
        <f t="shared" si="515"/>
        <v>-1.6797862524360747</v>
      </c>
      <c r="BD632">
        <f t="shared" si="503"/>
        <v>-276.24466285865975</v>
      </c>
      <c r="BF632">
        <f t="shared" si="504"/>
        <v>-80.328368853381136</v>
      </c>
      <c r="BG632">
        <f t="shared" si="505"/>
        <v>-202.03978973143833</v>
      </c>
      <c r="BH632">
        <f t="shared" si="516"/>
        <v>-22.039789731438333</v>
      </c>
      <c r="BI632">
        <f t="shared" si="517"/>
        <v>-22.039789731438333</v>
      </c>
      <c r="BJ632">
        <f t="shared" si="506"/>
        <v>0</v>
      </c>
      <c r="BK632">
        <f t="shared" si="518"/>
        <v>0</v>
      </c>
      <c r="BM632">
        <f t="shared" si="519"/>
        <v>-72.208281338418374</v>
      </c>
      <c r="BN632">
        <f t="shared" si="507"/>
        <v>-105.79512687277858</v>
      </c>
      <c r="BQ632" s="56">
        <f t="shared" si="520"/>
        <v>8.7818732853223889</v>
      </c>
    </row>
    <row r="633" spans="1:69" x14ac:dyDescent="0.2">
      <c r="A633">
        <f t="shared" si="563"/>
        <v>5700000</v>
      </c>
      <c r="B633">
        <f t="shared" si="508"/>
        <v>5700</v>
      </c>
      <c r="C633">
        <f t="shared" si="539"/>
        <v>3.7184052832286607</v>
      </c>
      <c r="D633">
        <f t="shared" si="540"/>
        <v>1.2985118071853405</v>
      </c>
      <c r="F633">
        <f t="shared" si="541"/>
        <v>4.3140571682216003E-6</v>
      </c>
      <c r="G633">
        <f t="shared" si="542"/>
        <v>1.2054652304975609E-3</v>
      </c>
      <c r="H633">
        <f t="shared" si="481"/>
        <v>-3.1403871847695028</v>
      </c>
      <c r="J633">
        <f t="shared" si="482"/>
        <v>15</v>
      </c>
      <c r="M633">
        <f t="shared" si="543"/>
        <v>1.3995949810821474E-4</v>
      </c>
      <c r="N633">
        <f t="shared" si="484"/>
        <v>-1.5707963250000001</v>
      </c>
      <c r="O633">
        <f t="shared" si="544"/>
        <v>644.65558738841867</v>
      </c>
      <c r="P633">
        <f t="shared" si="486"/>
        <v>1.5692451102684151</v>
      </c>
      <c r="Q633">
        <f t="shared" si="545"/>
        <v>678.30653008518016</v>
      </c>
      <c r="R633">
        <f t="shared" si="488"/>
        <v>1.5693220665336618</v>
      </c>
      <c r="S633">
        <f t="shared" si="546"/>
        <v>0.57625581168817097</v>
      </c>
      <c r="T633">
        <f t="shared" si="490"/>
        <v>-0.95665641508919996</v>
      </c>
      <c r="U633">
        <f t="shared" si="547"/>
        <v>2.9460344823227916E-2</v>
      </c>
      <c r="V633">
        <f t="shared" si="492"/>
        <v>-1.5413317188090441</v>
      </c>
      <c r="X633">
        <f t="shared" si="548"/>
        <v>-72.041137035090344</v>
      </c>
      <c r="Y633">
        <f t="shared" si="549"/>
        <v>-158.82921000036694</v>
      </c>
      <c r="Z633">
        <f t="shared" si="510"/>
        <v>21.170789999633058</v>
      </c>
      <c r="AC633">
        <v>1</v>
      </c>
      <c r="AD633">
        <f t="shared" si="550"/>
        <v>644.65481178000005</v>
      </c>
      <c r="AE633">
        <f t="shared" si="551"/>
        <v>-23.087768130617075</v>
      </c>
      <c r="AF633">
        <f t="shared" si="552"/>
        <v>0.68046896799000001</v>
      </c>
      <c r="AG633">
        <f t="shared" si="553"/>
        <v>0.77895695607072346</v>
      </c>
      <c r="AH633">
        <f t="shared" si="554"/>
        <v>-27.898961567004363</v>
      </c>
      <c r="AJ633">
        <f t="shared" si="497"/>
        <v>10500</v>
      </c>
      <c r="AK633">
        <f t="shared" si="555"/>
        <v>14891.526152118</v>
      </c>
      <c r="AL633">
        <v>8</v>
      </c>
      <c r="AM633">
        <f t="shared" si="556"/>
        <v>678.305792954916</v>
      </c>
      <c r="AN633">
        <f t="shared" si="557"/>
        <v>22.133491862283432</v>
      </c>
      <c r="AO633">
        <f t="shared" si="558"/>
        <v>-15.218699548667797</v>
      </c>
      <c r="AQ633">
        <f t="shared" si="559"/>
        <v>7.694675225494958E-5</v>
      </c>
      <c r="AR633">
        <f t="shared" si="560"/>
        <v>-0.87719297570642529</v>
      </c>
      <c r="AT633">
        <f t="shared" si="561"/>
        <v>-24.472713177871835</v>
      </c>
      <c r="AU633">
        <f t="shared" si="562"/>
        <v>-0.68544230472676371</v>
      </c>
      <c r="AV633">
        <f t="shared" si="511"/>
        <v>-3.1135915428324012</v>
      </c>
      <c r="AW633">
        <f t="shared" si="512"/>
        <v>9.3607431370111787</v>
      </c>
      <c r="AX633">
        <f t="shared" si="513"/>
        <v>-62.848853809968944</v>
      </c>
      <c r="AY633">
        <f t="shared" si="521"/>
        <v>-1.4229426723799343</v>
      </c>
      <c r="BA633">
        <f t="shared" si="502"/>
        <v>0.38529258354799623</v>
      </c>
      <c r="BB633">
        <f t="shared" si="514"/>
        <v>-8.2841870118074574</v>
      </c>
      <c r="BC633">
        <f t="shared" si="515"/>
        <v>-1.6906488704524669</v>
      </c>
      <c r="BD633">
        <f t="shared" si="503"/>
        <v>-276.86704502617295</v>
      </c>
      <c r="BF633">
        <f t="shared" si="504"/>
        <v>-80.657509443859666</v>
      </c>
      <c r="BG633">
        <f t="shared" si="505"/>
        <v>-202.39873067139789</v>
      </c>
      <c r="BH633">
        <f t="shared" si="516"/>
        <v>-22.398730671397885</v>
      </c>
      <c r="BI633">
        <f t="shared" si="517"/>
        <v>-22.398730671397885</v>
      </c>
      <c r="BJ633">
        <f t="shared" si="506"/>
        <v>0</v>
      </c>
      <c r="BK633">
        <f t="shared" si="518"/>
        <v>0</v>
      </c>
      <c r="BM633">
        <f t="shared" si="519"/>
        <v>-72.373322432052205</v>
      </c>
      <c r="BN633">
        <f t="shared" si="507"/>
        <v>-105.53168564522494</v>
      </c>
      <c r="BQ633" s="56">
        <f t="shared" si="520"/>
        <v>8.6177737884776775</v>
      </c>
    </row>
    <row r="634" spans="1:69" x14ac:dyDescent="0.2">
      <c r="A634">
        <f t="shared" si="563"/>
        <v>5800000</v>
      </c>
      <c r="B634">
        <f t="shared" si="508"/>
        <v>5800</v>
      </c>
      <c r="C634">
        <f t="shared" si="539"/>
        <v>3.7789601283627459</v>
      </c>
      <c r="D634">
        <f t="shared" si="540"/>
        <v>1.3029832973717193</v>
      </c>
      <c r="F634">
        <f t="shared" si="541"/>
        <v>4.166578471832328E-6</v>
      </c>
      <c r="G634">
        <f t="shared" si="542"/>
        <v>1.1846811886211243E-3</v>
      </c>
      <c r="H634">
        <f t="shared" si="481"/>
        <v>-3.1404079688113793</v>
      </c>
      <c r="J634">
        <f t="shared" si="482"/>
        <v>15</v>
      </c>
      <c r="M634">
        <f t="shared" si="543"/>
        <v>1.3754640331324554E-4</v>
      </c>
      <c r="N634">
        <f t="shared" si="484"/>
        <v>-1.5707963250000001</v>
      </c>
      <c r="O634">
        <f t="shared" si="544"/>
        <v>655.96530755587548</v>
      </c>
      <c r="P634">
        <f t="shared" si="486"/>
        <v>1.5692718553391398</v>
      </c>
      <c r="Q634">
        <f t="shared" si="545"/>
        <v>690.20661900683899</v>
      </c>
      <c r="R634">
        <f t="shared" si="488"/>
        <v>1.5693474847781448</v>
      </c>
      <c r="S634">
        <f t="shared" si="546"/>
        <v>0.56956243106115678</v>
      </c>
      <c r="T634">
        <f t="shared" si="490"/>
        <v>-0.96482292577291418</v>
      </c>
      <c r="U634">
        <f t="shared" si="547"/>
        <v>2.8952837362004307E-2</v>
      </c>
      <c r="V634">
        <f t="shared" si="492"/>
        <v>-1.5418394428725835</v>
      </c>
      <c r="X634">
        <f t="shared" si="548"/>
        <v>-72.30430340551051</v>
      </c>
      <c r="Y634">
        <f t="shared" si="549"/>
        <v>-159.06821162642368</v>
      </c>
      <c r="Z634">
        <f t="shared" si="510"/>
        <v>20.931788373576325</v>
      </c>
      <c r="AC634">
        <v>1</v>
      </c>
      <c r="AD634">
        <f t="shared" si="550"/>
        <v>655.96454532000007</v>
      </c>
      <c r="AE634">
        <f t="shared" si="551"/>
        <v>-23.904971373159693</v>
      </c>
      <c r="AF634">
        <f t="shared" si="552"/>
        <v>0.69240702005999999</v>
      </c>
      <c r="AG634">
        <f t="shared" si="553"/>
        <v>0.75235025037301295</v>
      </c>
      <c r="AH634">
        <f t="shared" si="554"/>
        <v>-27.418715650963907</v>
      </c>
      <c r="AJ634">
        <f t="shared" si="497"/>
        <v>10500</v>
      </c>
      <c r="AK634">
        <f t="shared" si="555"/>
        <v>15152.780996892003</v>
      </c>
      <c r="AL634">
        <v>9</v>
      </c>
      <c r="AM634">
        <f t="shared" si="556"/>
        <v>690.20589458570407</v>
      </c>
      <c r="AN634">
        <f t="shared" si="557"/>
        <v>22.148604503732951</v>
      </c>
      <c r="AO634">
        <f t="shared" si="558"/>
        <v>-14.924043159105986</v>
      </c>
      <c r="AQ634">
        <f t="shared" si="559"/>
        <v>7.4316289578505582E-5</v>
      </c>
      <c r="AR634">
        <f t="shared" si="560"/>
        <v>-0.86206895911066472</v>
      </c>
      <c r="AT634">
        <f t="shared" si="561"/>
        <v>-23.636767749498677</v>
      </c>
      <c r="AU634">
        <f t="shared" si="562"/>
        <v>-0.65061545443789903</v>
      </c>
      <c r="AV634">
        <f t="shared" si="511"/>
        <v>-3.1140740342268987</v>
      </c>
      <c r="AW634">
        <f t="shared" si="512"/>
        <v>9.8407791105196676</v>
      </c>
      <c r="AX634">
        <f t="shared" si="513"/>
        <v>-61.746749538150254</v>
      </c>
      <c r="AY634">
        <f t="shared" si="521"/>
        <v>-1.4127522464151954</v>
      </c>
      <c r="BA634">
        <f t="shared" si="502"/>
        <v>0.37817414025618828</v>
      </c>
      <c r="BB634">
        <f t="shared" si="514"/>
        <v>-8.4461634351508437</v>
      </c>
      <c r="BC634">
        <f t="shared" si="515"/>
        <v>-1.7013217878117033</v>
      </c>
      <c r="BD634">
        <f t="shared" si="503"/>
        <v>-277.47855814664786</v>
      </c>
      <c r="BF634">
        <f t="shared" si="504"/>
        <v>-80.981300747963232</v>
      </c>
      <c r="BG634">
        <f t="shared" si="505"/>
        <v>-202.75523711364849</v>
      </c>
      <c r="BH634">
        <f t="shared" si="516"/>
        <v>-22.755237113648491</v>
      </c>
      <c r="BI634">
        <f t="shared" si="517"/>
        <v>-22.755237113648491</v>
      </c>
      <c r="BJ634">
        <f t="shared" si="506"/>
        <v>0</v>
      </c>
      <c r="BK634">
        <f t="shared" si="518"/>
        <v>0</v>
      </c>
      <c r="BM634">
        <f t="shared" si="519"/>
        <v>-72.535137312812395</v>
      </c>
      <c r="BN634">
        <f t="shared" si="507"/>
        <v>-105.27667896700062</v>
      </c>
      <c r="BQ634" s="56">
        <f t="shared" si="520"/>
        <v>8.4557973651342913</v>
      </c>
    </row>
    <row r="635" spans="1:69" x14ac:dyDescent="0.2">
      <c r="A635">
        <f t="shared" si="563"/>
        <v>5900000</v>
      </c>
      <c r="B635">
        <f t="shared" si="508"/>
        <v>5900</v>
      </c>
      <c r="C635">
        <f t="shared" si="539"/>
        <v>3.8395881467509994</v>
      </c>
      <c r="D635">
        <f t="shared" si="540"/>
        <v>1.307313660070839</v>
      </c>
      <c r="F635">
        <f t="shared" si="541"/>
        <v>4.0265349921524551E-6</v>
      </c>
      <c r="G635">
        <f t="shared" si="542"/>
        <v>1.1646016983970899E-3</v>
      </c>
      <c r="H635">
        <f t="shared" si="481"/>
        <v>-3.1404280483016032</v>
      </c>
      <c r="J635">
        <f t="shared" si="482"/>
        <v>15</v>
      </c>
      <c r="M635">
        <f t="shared" si="543"/>
        <v>1.3521510834183458E-4</v>
      </c>
      <c r="N635">
        <f t="shared" si="484"/>
        <v>-1.5707963250000001</v>
      </c>
      <c r="O635">
        <f t="shared" si="544"/>
        <v>667.27502817663799</v>
      </c>
      <c r="P635">
        <f t="shared" si="486"/>
        <v>1.5692976937993692</v>
      </c>
      <c r="Q635">
        <f t="shared" si="545"/>
        <v>702.10670835931535</v>
      </c>
      <c r="R635">
        <f t="shared" si="488"/>
        <v>1.569372041389</v>
      </c>
      <c r="S635">
        <f t="shared" si="546"/>
        <v>0.56298649441804138</v>
      </c>
      <c r="T635">
        <f t="shared" si="490"/>
        <v>-0.97280138395365134</v>
      </c>
      <c r="U635">
        <f t="shared" si="547"/>
        <v>2.8462512273649012E-2</v>
      </c>
      <c r="V635">
        <f t="shared" si="492"/>
        <v>-1.5423299701367919</v>
      </c>
      <c r="X635">
        <f t="shared" si="548"/>
        <v>-72.563763963419035</v>
      </c>
      <c r="Y635">
        <f t="shared" si="549"/>
        <v>-159.30360028818848</v>
      </c>
      <c r="Z635">
        <f t="shared" si="510"/>
        <v>20.696399711811523</v>
      </c>
      <c r="AC635">
        <v>1</v>
      </c>
      <c r="AD635">
        <f t="shared" si="550"/>
        <v>667.27427886000009</v>
      </c>
      <c r="AE635">
        <f t="shared" si="551"/>
        <v>-24.736386846007399</v>
      </c>
      <c r="AF635">
        <f t="shared" si="552"/>
        <v>0.70434507212999997</v>
      </c>
      <c r="AG635">
        <f t="shared" si="553"/>
        <v>0.72708346813448432</v>
      </c>
      <c r="AH635">
        <f t="shared" si="554"/>
        <v>-26.954711104455896</v>
      </c>
      <c r="AJ635">
        <f t="shared" si="497"/>
        <v>10500</v>
      </c>
      <c r="AK635">
        <f t="shared" si="555"/>
        <v>15414.035841666002</v>
      </c>
      <c r="AL635">
        <v>10</v>
      </c>
      <c r="AM635">
        <f t="shared" si="556"/>
        <v>702.10599621649203</v>
      </c>
      <c r="AN635">
        <f t="shared" si="557"/>
        <v>22.162507397093233</v>
      </c>
      <c r="AO635">
        <f t="shared" si="558"/>
        <v>-14.639349302551413</v>
      </c>
      <c r="AQ635">
        <f t="shared" si="559"/>
        <v>7.1818442460367399E-5</v>
      </c>
      <c r="AR635">
        <f t="shared" si="560"/>
        <v>-0.84745762103233535</v>
      </c>
      <c r="AT635">
        <f t="shared" si="561"/>
        <v>-22.842923130193846</v>
      </c>
      <c r="AU635">
        <f t="shared" si="562"/>
        <v>-0.61810827156568116</v>
      </c>
      <c r="AV635">
        <f t="shared" si="511"/>
        <v>-3.1145401841647069</v>
      </c>
      <c r="AW635">
        <f t="shared" si="512"/>
        <v>10.295711689355068</v>
      </c>
      <c r="AX635">
        <f t="shared" si="513"/>
        <v>-60.680911583675581</v>
      </c>
      <c r="AY635">
        <f t="shared" si="521"/>
        <v>-1.402727215611191</v>
      </c>
      <c r="BA635">
        <f t="shared" si="502"/>
        <v>0.37127492043939231</v>
      </c>
      <c r="BB635">
        <f t="shared" si="514"/>
        <v>-8.6060877260960371</v>
      </c>
      <c r="BC635">
        <f t="shared" si="515"/>
        <v>-1.7118129685535159</v>
      </c>
      <c r="BD635">
        <f t="shared" si="503"/>
        <v>-278.07965852594953</v>
      </c>
      <c r="BF635">
        <f t="shared" si="504"/>
        <v>-81.299940146575537</v>
      </c>
      <c r="BG635">
        <f t="shared" si="505"/>
        <v>-203.1093764562921</v>
      </c>
      <c r="BH635">
        <f t="shared" si="516"/>
        <v>-23.109376456292097</v>
      </c>
      <c r="BI635">
        <f t="shared" si="517"/>
        <v>-23.109376456292097</v>
      </c>
      <c r="BJ635">
        <f t="shared" si="506"/>
        <v>0</v>
      </c>
      <c r="BK635">
        <f t="shared" si="518"/>
        <v>0</v>
      </c>
      <c r="BM635">
        <f t="shared" si="519"/>
        <v>-72.693852420479487</v>
      </c>
      <c r="BN635">
        <f t="shared" si="507"/>
        <v>-105.0297179303426</v>
      </c>
      <c r="BQ635" s="56">
        <f t="shared" si="520"/>
        <v>8.2958730741890978</v>
      </c>
    </row>
    <row r="636" spans="1:69" x14ac:dyDescent="0.2">
      <c r="A636">
        <f t="shared" si="563"/>
        <v>6000000</v>
      </c>
      <c r="B636">
        <f t="shared" si="508"/>
        <v>6000</v>
      </c>
      <c r="C636">
        <f t="shared" si="539"/>
        <v>3.9002859260686251</v>
      </c>
      <c r="D636">
        <f t="shared" si="540"/>
        <v>1.3115093178146877</v>
      </c>
      <c r="F636">
        <f t="shared" si="541"/>
        <v>3.8934351997225904E-6</v>
      </c>
      <c r="G636">
        <f t="shared" si="542"/>
        <v>1.1451915317318875E-3</v>
      </c>
      <c r="H636">
        <f t="shared" si="481"/>
        <v>-3.1404474584682682</v>
      </c>
      <c r="J636">
        <f t="shared" si="482"/>
        <v>15</v>
      </c>
      <c r="M636">
        <f t="shared" si="543"/>
        <v>1.3296152320280399E-4</v>
      </c>
      <c r="N636">
        <f t="shared" si="484"/>
        <v>-1.5707963250000001</v>
      </c>
      <c r="O636">
        <f t="shared" si="544"/>
        <v>678.58474922804101</v>
      </c>
      <c r="P636">
        <f t="shared" si="486"/>
        <v>1.5693226709794936</v>
      </c>
      <c r="Q636">
        <f t="shared" si="545"/>
        <v>714.00679812106807</v>
      </c>
      <c r="R636">
        <f t="shared" si="488"/>
        <v>1.5693957794477933</v>
      </c>
      <c r="S636">
        <f t="shared" si="546"/>
        <v>0.55652644973303322</v>
      </c>
      <c r="T636">
        <f t="shared" si="490"/>
        <v>-0.98059722973239993</v>
      </c>
      <c r="U636">
        <f t="shared" si="547"/>
        <v>2.7988511820813914E-2</v>
      </c>
      <c r="V636">
        <f t="shared" si="492"/>
        <v>-1.542804159520202</v>
      </c>
      <c r="X636">
        <f t="shared" si="548"/>
        <v>-72.819626078212096</v>
      </c>
      <c r="Y636">
        <f t="shared" si="549"/>
        <v>-159.53536586170748</v>
      </c>
      <c r="Z636">
        <f t="shared" si="510"/>
        <v>20.464634138292524</v>
      </c>
      <c r="AC636">
        <v>1</v>
      </c>
      <c r="AD636">
        <f t="shared" si="550"/>
        <v>678.58401240000001</v>
      </c>
      <c r="AE636">
        <f t="shared" si="551"/>
        <v>-25.582014549160196</v>
      </c>
      <c r="AF636">
        <f t="shared" si="552"/>
        <v>0.71628312419999995</v>
      </c>
      <c r="AG636">
        <f t="shared" si="553"/>
        <v>0.70306814747314128</v>
      </c>
      <c r="AH636">
        <f t="shared" si="554"/>
        <v>-26.506138335890455</v>
      </c>
      <c r="AJ636">
        <f t="shared" si="497"/>
        <v>10500</v>
      </c>
      <c r="AK636">
        <f t="shared" si="555"/>
        <v>15675.290686440003</v>
      </c>
      <c r="AL636">
        <v>11</v>
      </c>
      <c r="AM636">
        <f t="shared" si="556"/>
        <v>714.0060978472801</v>
      </c>
      <c r="AN636">
        <f t="shared" si="557"/>
        <v>22.17529527046354</v>
      </c>
      <c r="AO636">
        <f t="shared" si="558"/>
        <v>-14.364123475901446</v>
      </c>
      <c r="AQ636">
        <f t="shared" si="559"/>
        <v>6.9444443962191359E-5</v>
      </c>
      <c r="AR636">
        <f t="shared" si="560"/>
        <v>-0.8333333275462963</v>
      </c>
      <c r="AT636">
        <f t="shared" si="561"/>
        <v>-22.088399635673472</v>
      </c>
      <c r="AU636">
        <f t="shared" si="562"/>
        <v>-0.58773082286392386</v>
      </c>
      <c r="AV636">
        <f t="shared" si="511"/>
        <v>-3.1149908087973612</v>
      </c>
      <c r="AW636">
        <f t="shared" si="512"/>
        <v>10.727227205447322</v>
      </c>
      <c r="AX636">
        <f t="shared" si="513"/>
        <v>-59.649612118296915</v>
      </c>
      <c r="AY636">
        <f t="shared" si="521"/>
        <v>-1.3928609542495096</v>
      </c>
      <c r="BA636">
        <f t="shared" si="502"/>
        <v>0.36458485613648806</v>
      </c>
      <c r="BB636">
        <f t="shared" si="514"/>
        <v>-8.7640274943640879</v>
      </c>
      <c r="BC636">
        <f t="shared" si="515"/>
        <v>-1.7221298545478516</v>
      </c>
      <c r="BD636">
        <f t="shared" si="503"/>
        <v>-278.670772551818</v>
      </c>
      <c r="BF636">
        <f t="shared" si="504"/>
        <v>-81.613614376988352</v>
      </c>
      <c r="BG636">
        <f t="shared" si="505"/>
        <v>-203.46120912151284</v>
      </c>
      <c r="BH636">
        <f t="shared" si="516"/>
        <v>-23.461209121512837</v>
      </c>
      <c r="BI636">
        <f t="shared" si="517"/>
        <v>-23.461209121512837</v>
      </c>
      <c r="BJ636">
        <f t="shared" si="506"/>
        <v>0</v>
      </c>
      <c r="BK636">
        <f t="shared" si="518"/>
        <v>0</v>
      </c>
      <c r="BM636">
        <f t="shared" si="519"/>
        <v>-72.849586882624266</v>
      </c>
      <c r="BN636">
        <f t="shared" si="507"/>
        <v>-104.79043656969482</v>
      </c>
      <c r="BQ636" s="56">
        <f t="shared" si="520"/>
        <v>8.1379333059210488</v>
      </c>
    </row>
    <row r="637" spans="1:69" x14ac:dyDescent="0.2">
      <c r="A637">
        <f t="shared" si="563"/>
        <v>6100000</v>
      </c>
      <c r="B637">
        <f t="shared" si="508"/>
        <v>6100</v>
      </c>
      <c r="C637">
        <f t="shared" si="539"/>
        <v>3.9610502593390611</v>
      </c>
      <c r="D637">
        <f t="shared" si="540"/>
        <v>1.3155763186937874</v>
      </c>
      <c r="F637">
        <f t="shared" si="541"/>
        <v>3.7668275215828733E-6</v>
      </c>
      <c r="G637">
        <f t="shared" si="542"/>
        <v>1.1264177706117244E-3</v>
      </c>
      <c r="H637">
        <f t="shared" si="481"/>
        <v>-3.1404662322293886</v>
      </c>
      <c r="J637">
        <f t="shared" si="482"/>
        <v>15</v>
      </c>
      <c r="M637">
        <f t="shared" si="543"/>
        <v>1.307818261011187E-4</v>
      </c>
      <c r="N637">
        <f t="shared" si="484"/>
        <v>-1.5707963250000001</v>
      </c>
      <c r="O637">
        <f t="shared" si="544"/>
        <v>689.89447068890559</v>
      </c>
      <c r="P637">
        <f t="shared" si="486"/>
        <v>1.5693468292374291</v>
      </c>
      <c r="Q637">
        <f t="shared" si="545"/>
        <v>725.9068882719688</v>
      </c>
      <c r="R637">
        <f t="shared" si="488"/>
        <v>1.5694187392110788</v>
      </c>
      <c r="S637">
        <f t="shared" si="546"/>
        <v>0.55018066920031083</v>
      </c>
      <c r="T637">
        <f t="shared" si="490"/>
        <v>-0.98821574587098393</v>
      </c>
      <c r="U637">
        <f t="shared" si="547"/>
        <v>2.753003440090751E-2</v>
      </c>
      <c r="V637">
        <f t="shared" si="492"/>
        <v>-1.5432628136924265</v>
      </c>
      <c r="X637">
        <f t="shared" si="548"/>
        <v>-73.07199186028042</v>
      </c>
      <c r="Y637">
        <f t="shared" si="549"/>
        <v>-159.76350763906029</v>
      </c>
      <c r="Z637">
        <f t="shared" si="510"/>
        <v>20.236492360939707</v>
      </c>
      <c r="AC637">
        <v>1</v>
      </c>
      <c r="AD637">
        <f t="shared" si="550"/>
        <v>689.89374594000003</v>
      </c>
      <c r="AE637">
        <f t="shared" si="551"/>
        <v>-26.44185448261808</v>
      </c>
      <c r="AF637">
        <f t="shared" si="552"/>
        <v>0.72822117626999994</v>
      </c>
      <c r="AG637">
        <f t="shared" si="553"/>
        <v>0.68022300635265587</v>
      </c>
      <c r="AH637">
        <f t="shared" si="554"/>
        <v>-26.072240643914505</v>
      </c>
      <c r="AJ637">
        <f t="shared" si="497"/>
        <v>10500</v>
      </c>
      <c r="AK637">
        <f t="shared" si="555"/>
        <v>15936.545531214002</v>
      </c>
      <c r="AL637">
        <v>12</v>
      </c>
      <c r="AM637">
        <f t="shared" si="556"/>
        <v>725.90619947806806</v>
      </c>
      <c r="AN637">
        <f t="shared" si="557"/>
        <v>22.187054445089242</v>
      </c>
      <c r="AO637">
        <f t="shared" si="558"/>
        <v>-14.097903219475294</v>
      </c>
      <c r="AQ637">
        <f t="shared" si="559"/>
        <v>6.7186239806596079E-5</v>
      </c>
      <c r="AR637">
        <f t="shared" si="560"/>
        <v>-0.81967212564047209</v>
      </c>
      <c r="AT637">
        <f t="shared" si="561"/>
        <v>-21.370643207181285</v>
      </c>
      <c r="AU637">
        <f t="shared" si="562"/>
        <v>-0.5593115333388311</v>
      </c>
      <c r="AV637">
        <f t="shared" si="511"/>
        <v>-3.1154266708318592</v>
      </c>
      <c r="AW637">
        <f t="shared" si="512"/>
        <v>11.136873927003464</v>
      </c>
      <c r="AX637">
        <f t="shared" si="513"/>
        <v>-58.651229097595063</v>
      </c>
      <c r="AY637">
        <f t="shared" si="521"/>
        <v>-1.383147263506848</v>
      </c>
      <c r="BA637">
        <f t="shared" si="502"/>
        <v>0.35809449087828515</v>
      </c>
      <c r="BB637">
        <f t="shared" si="514"/>
        <v>-8.9200472072160153</v>
      </c>
      <c r="BC637">
        <f t="shared" si="515"/>
        <v>-1.7322794073250112</v>
      </c>
      <c r="BD637">
        <f t="shared" si="503"/>
        <v>-279.25229909055906</v>
      </c>
      <c r="BF637">
        <f t="shared" si="504"/>
        <v>-81.922500270461299</v>
      </c>
      <c r="BG637">
        <f t="shared" si="505"/>
        <v>-203.8107893316182</v>
      </c>
      <c r="BH637">
        <f t="shared" si="516"/>
        <v>-23.810789331618196</v>
      </c>
      <c r="BI637">
        <f t="shared" si="517"/>
        <v>-23.810789331618196</v>
      </c>
      <c r="BJ637">
        <f t="shared" si="506"/>
        <v>0</v>
      </c>
      <c r="BK637">
        <f t="shared" si="518"/>
        <v>0</v>
      </c>
      <c r="BM637">
        <f t="shared" si="519"/>
        <v>-73.002453063245284</v>
      </c>
      <c r="BN637">
        <f t="shared" si="507"/>
        <v>-104.55849024105916</v>
      </c>
      <c r="BQ637" s="56">
        <f t="shared" si="520"/>
        <v>7.9819135930691223</v>
      </c>
    </row>
    <row r="638" spans="1:69" x14ac:dyDescent="0.2">
      <c r="A638">
        <f t="shared" si="563"/>
        <v>6200000</v>
      </c>
      <c r="B638">
        <f t="shared" si="508"/>
        <v>6200</v>
      </c>
      <c r="C638">
        <f t="shared" si="539"/>
        <v>4.0218781299827961</v>
      </c>
      <c r="D638">
        <f t="shared" si="540"/>
        <v>1.3195203625392933</v>
      </c>
      <c r="F638">
        <f t="shared" si="541"/>
        <v>3.6462965060222413E-6</v>
      </c>
      <c r="G638">
        <f t="shared" si="542"/>
        <v>1.1082496208019703E-3</v>
      </c>
      <c r="H638">
        <f t="shared" si="481"/>
        <v>-3.1404844003791981</v>
      </c>
      <c r="J638">
        <f t="shared" si="482"/>
        <v>15</v>
      </c>
      <c r="M638">
        <f t="shared" si="543"/>
        <v>1.2867244180916516E-4</v>
      </c>
      <c r="N638">
        <f t="shared" si="484"/>
        <v>-1.5707963250000001</v>
      </c>
      <c r="O638">
        <f t="shared" si="544"/>
        <v>701.20419253941907</v>
      </c>
      <c r="P638">
        <f t="shared" si="486"/>
        <v>1.5693702081983325</v>
      </c>
      <c r="Q638">
        <f t="shared" si="545"/>
        <v>737.80697879318814</v>
      </c>
      <c r="R638">
        <f t="shared" si="488"/>
        <v>1.5694409583382221</v>
      </c>
      <c r="S638">
        <f t="shared" si="546"/>
        <v>0.54394746150769324</v>
      </c>
      <c r="T638">
        <f t="shared" si="490"/>
        <v>-0.99566205992176116</v>
      </c>
      <c r="U638">
        <f t="shared" si="547"/>
        <v>2.708633002950242E-2</v>
      </c>
      <c r="V638">
        <f t="shared" si="492"/>
        <v>-1.5437066836034166</v>
      </c>
      <c r="X638">
        <f t="shared" si="548"/>
        <v>-73.320958548816009</v>
      </c>
      <c r="Y638">
        <f t="shared" si="549"/>
        <v>-159.9880331936526</v>
      </c>
      <c r="Z638">
        <f t="shared" si="510"/>
        <v>20.011966806347402</v>
      </c>
      <c r="AC638">
        <v>1</v>
      </c>
      <c r="AD638">
        <f t="shared" si="550"/>
        <v>701.20347948000006</v>
      </c>
      <c r="AE638">
        <f t="shared" si="551"/>
        <v>-27.315906646381045</v>
      </c>
      <c r="AF638">
        <f t="shared" si="552"/>
        <v>0.74015922833999992</v>
      </c>
      <c r="AG638">
        <f t="shared" si="553"/>
        <v>0.65847325464639395</v>
      </c>
      <c r="AH638">
        <f t="shared" si="554"/>
        <v>-25.652309970710526</v>
      </c>
      <c r="AJ638">
        <f t="shared" si="497"/>
        <v>10500</v>
      </c>
      <c r="AK638">
        <f t="shared" si="555"/>
        <v>16197.800375988001</v>
      </c>
      <c r="AL638">
        <v>13</v>
      </c>
      <c r="AM638">
        <f t="shared" si="556"/>
        <v>737.80630110885613</v>
      </c>
      <c r="AN638">
        <f t="shared" si="557"/>
        <v>22.197863685694873</v>
      </c>
      <c r="AO638">
        <f t="shared" si="558"/>
        <v>-13.84025557485632</v>
      </c>
      <c r="AQ638">
        <f t="shared" si="559"/>
        <v>6.5036419972447842E-5</v>
      </c>
      <c r="AR638">
        <f t="shared" si="560"/>
        <v>-0.80645160765835322</v>
      </c>
      <c r="AT638">
        <f t="shared" si="561"/>
        <v>-20.687303791286777</v>
      </c>
      <c r="AU638">
        <f t="shared" si="562"/>
        <v>-0.53269514921413108</v>
      </c>
      <c r="AV638">
        <f t="shared" si="511"/>
        <v>-3.1158484838337617</v>
      </c>
      <c r="AW638">
        <f t="shared" si="512"/>
        <v>11.526075337914678</v>
      </c>
      <c r="AX638">
        <f t="shared" si="513"/>
        <v>-57.684238481193816</v>
      </c>
      <c r="AY638">
        <f t="shared" si="521"/>
        <v>-1.3735803378124107</v>
      </c>
      <c r="BA638">
        <f t="shared" si="502"/>
        <v>0.35179493446119636</v>
      </c>
      <c r="BB638">
        <f t="shared" si="514"/>
        <v>-9.0742083658706836</v>
      </c>
      <c r="BC638">
        <f t="shared" si="515"/>
        <v>-1.7422681460213509</v>
      </c>
      <c r="BD638">
        <f t="shared" si="503"/>
        <v>-279.8246116611723</v>
      </c>
      <c r="BF638">
        <f t="shared" si="504"/>
        <v>-82.22676542747206</v>
      </c>
      <c r="BG638">
        <f t="shared" si="505"/>
        <v>-204.15816579371801</v>
      </c>
      <c r="BH638">
        <f t="shared" si="516"/>
        <v>-24.158165793718013</v>
      </c>
      <c r="BI638">
        <f t="shared" si="517"/>
        <v>-24.158165793718013</v>
      </c>
      <c r="BJ638">
        <f t="shared" si="506"/>
        <v>0</v>
      </c>
      <c r="BK638">
        <f t="shared" si="518"/>
        <v>0</v>
      </c>
      <c r="BM638">
        <f t="shared" si="519"/>
        <v>-73.152557061601371</v>
      </c>
      <c r="BN638">
        <f t="shared" si="507"/>
        <v>-104.33355413254576</v>
      </c>
      <c r="BQ638" s="56">
        <f t="shared" si="520"/>
        <v>7.8277524344144531</v>
      </c>
    </row>
    <row r="639" spans="1:69" x14ac:dyDescent="0.2">
      <c r="A639">
        <f t="shared" si="563"/>
        <v>6300000</v>
      </c>
      <c r="B639">
        <f t="shared" si="508"/>
        <v>6300</v>
      </c>
      <c r="C639">
        <f t="shared" si="539"/>
        <v>4.0827666981301567</v>
      </c>
      <c r="D639">
        <f t="shared" si="540"/>
        <v>1.3233468250029135</v>
      </c>
      <c r="F639">
        <f t="shared" si="541"/>
        <v>3.5314594100407642E-6</v>
      </c>
      <c r="G639">
        <f t="shared" si="542"/>
        <v>1.0906582432898774E-3</v>
      </c>
      <c r="H639">
        <f t="shared" si="481"/>
        <v>-3.1405019917567105</v>
      </c>
      <c r="J639">
        <f t="shared" si="482"/>
        <v>15</v>
      </c>
      <c r="M639">
        <f t="shared" si="543"/>
        <v>1.2663002209790857E-4</v>
      </c>
      <c r="N639">
        <f t="shared" si="484"/>
        <v>-1.5707963250000001</v>
      </c>
      <c r="O639">
        <f t="shared" si="544"/>
        <v>712.51391476102685</v>
      </c>
      <c r="P639">
        <f t="shared" si="486"/>
        <v>1.5693928449714869</v>
      </c>
      <c r="Q639">
        <f t="shared" si="545"/>
        <v>749.70706966709156</v>
      </c>
      <c r="R639">
        <f t="shared" si="488"/>
        <v>1.569462472097525</v>
      </c>
      <c r="S639">
        <f t="shared" si="546"/>
        <v>0.53782508293742992</v>
      </c>
      <c r="T639">
        <f t="shared" si="490"/>
        <v>-1.0029411466881459</v>
      </c>
      <c r="U639">
        <f t="shared" si="547"/>
        <v>2.6656696252767651E-2</v>
      </c>
      <c r="V639">
        <f t="shared" si="492"/>
        <v>-1.5441364725821167</v>
      </c>
      <c r="X639">
        <f t="shared" si="548"/>
        <v>-73.566618862189983</v>
      </c>
      <c r="Y639">
        <f t="shared" si="549"/>
        <v>-160.20895736177272</v>
      </c>
      <c r="Z639">
        <f t="shared" si="510"/>
        <v>19.791042638227282</v>
      </c>
      <c r="AC639">
        <v>1</v>
      </c>
      <c r="AD639">
        <f t="shared" si="550"/>
        <v>712.51321302000008</v>
      </c>
      <c r="AE639">
        <f t="shared" si="551"/>
        <v>-28.204171040449111</v>
      </c>
      <c r="AF639">
        <f t="shared" si="552"/>
        <v>0.75209728041000001</v>
      </c>
      <c r="AG639">
        <f t="shared" si="553"/>
        <v>0.63774998187365828</v>
      </c>
      <c r="AH639">
        <f t="shared" si="554"/>
        <v>-25.245683057725255</v>
      </c>
      <c r="AJ639">
        <f t="shared" si="497"/>
        <v>10500</v>
      </c>
      <c r="AK639">
        <f t="shared" si="555"/>
        <v>16459.055220762002</v>
      </c>
      <c r="AL639">
        <v>14</v>
      </c>
      <c r="AM639">
        <f t="shared" si="556"/>
        <v>749.70640273964409</v>
      </c>
      <c r="AN639">
        <f t="shared" si="557"/>
        <v>22.207794953915872</v>
      </c>
      <c r="AO639">
        <f t="shared" si="558"/>
        <v>-13.590774779848873</v>
      </c>
      <c r="AQ639">
        <f t="shared" si="559"/>
        <v>6.2988157829502655E-5</v>
      </c>
      <c r="AR639">
        <f t="shared" si="560"/>
        <v>-0.79365078865173355</v>
      </c>
      <c r="AT639">
        <f t="shared" si="561"/>
        <v>-20.036216098118842</v>
      </c>
      <c r="AU639">
        <f t="shared" si="562"/>
        <v>-0.50774095514561135</v>
      </c>
      <c r="AV639">
        <f t="shared" si="511"/>
        <v>-3.1162569161212246</v>
      </c>
      <c r="AW639">
        <f t="shared" si="512"/>
        <v>11.896141955582147</v>
      </c>
      <c r="AX639">
        <f t="shared" si="513"/>
        <v>-56.747207109425815</v>
      </c>
      <c r="AY639">
        <f t="shared" si="521"/>
        <v>-1.3641547342694857</v>
      </c>
      <c r="BA639">
        <f t="shared" si="502"/>
        <v>0.34567782161362681</v>
      </c>
      <c r="BB639">
        <f t="shared" si="514"/>
        <v>-9.226569670349523</v>
      </c>
      <c r="BC639">
        <f t="shared" si="515"/>
        <v>-1.7521021818517388</v>
      </c>
      <c r="BD639">
        <f t="shared" si="503"/>
        <v>-280.38806041047781</v>
      </c>
      <c r="BF639">
        <f t="shared" si="504"/>
        <v>-82.526568836829796</v>
      </c>
      <c r="BG639">
        <f t="shared" si="505"/>
        <v>-204.50338230483075</v>
      </c>
      <c r="BH639">
        <f t="shared" si="516"/>
        <v>-24.503382304830751</v>
      </c>
      <c r="BI639">
        <f t="shared" si="517"/>
        <v>-24.503382304830751</v>
      </c>
      <c r="BJ639">
        <f t="shared" si="506"/>
        <v>0</v>
      </c>
      <c r="BK639">
        <f t="shared" si="518"/>
        <v>0</v>
      </c>
      <c r="BM639">
        <f t="shared" si="519"/>
        <v>-73.299999166480262</v>
      </c>
      <c r="BN639">
        <f t="shared" si="507"/>
        <v>-104.115321894353</v>
      </c>
      <c r="BQ639" s="56">
        <f t="shared" si="520"/>
        <v>7.6753911299356137</v>
      </c>
    </row>
    <row r="640" spans="1:69" x14ac:dyDescent="0.2">
      <c r="A640">
        <f t="shared" si="563"/>
        <v>6400000</v>
      </c>
      <c r="B640">
        <f t="shared" si="508"/>
        <v>6400</v>
      </c>
      <c r="C640">
        <f t="shared" si="539"/>
        <v>4.143713288077512</v>
      </c>
      <c r="D640">
        <f t="shared" si="540"/>
        <v>1.3270607797222089</v>
      </c>
      <c r="F640">
        <f t="shared" si="541"/>
        <v>3.421963157105086E-6</v>
      </c>
      <c r="G640">
        <f t="shared" si="542"/>
        <v>1.0736166015299054E-3</v>
      </c>
      <c r="H640">
        <f t="shared" si="481"/>
        <v>-3.1405190333984705</v>
      </c>
      <c r="J640">
        <f t="shared" si="482"/>
        <v>15</v>
      </c>
      <c r="M640">
        <f t="shared" si="543"/>
        <v>1.2465142800262876E-4</v>
      </c>
      <c r="N640">
        <f t="shared" si="484"/>
        <v>-1.5707963250000001</v>
      </c>
      <c r="O640">
        <f t="shared" si="544"/>
        <v>723.82363733633395</v>
      </c>
      <c r="P640">
        <f t="shared" si="486"/>
        <v>1.5694147743468521</v>
      </c>
      <c r="Q640">
        <f t="shared" si="545"/>
        <v>761.60716087714729</v>
      </c>
      <c r="R640">
        <f t="shared" si="488"/>
        <v>1.5694833135530275</v>
      </c>
      <c r="S640">
        <f t="shared" si="546"/>
        <v>0.5318117473861661</v>
      </c>
      <c r="T640">
        <f t="shared" si="490"/>
        <v>-1.0100578309603554</v>
      </c>
      <c r="U640">
        <f t="shared" si="547"/>
        <v>2.6240474442138631E-2</v>
      </c>
      <c r="V640">
        <f t="shared" si="492"/>
        <v>-1.5445528400515178</v>
      </c>
      <c r="X640">
        <f t="shared" si="548"/>
        <v>-73.80906131514206</v>
      </c>
      <c r="Y640">
        <f t="shared" si="549"/>
        <v>-160.42630132900453</v>
      </c>
      <c r="Z640">
        <f t="shared" si="510"/>
        <v>19.573698670995469</v>
      </c>
      <c r="AC640">
        <v>1</v>
      </c>
      <c r="AD640">
        <f t="shared" si="550"/>
        <v>723.8229465600001</v>
      </c>
      <c r="AE640">
        <f t="shared" si="551"/>
        <v>-29.106647664822265</v>
      </c>
      <c r="AF640">
        <f t="shared" si="552"/>
        <v>0.76403533248</v>
      </c>
      <c r="AG640">
        <f t="shared" si="553"/>
        <v>0.61798961124466412</v>
      </c>
      <c r="AH640">
        <f t="shared" si="554"/>
        <v>-24.851737960058227</v>
      </c>
      <c r="AJ640">
        <f t="shared" si="497"/>
        <v>10500</v>
      </c>
      <c r="AK640">
        <f t="shared" si="555"/>
        <v>16720.310065536003</v>
      </c>
      <c r="AL640">
        <v>15</v>
      </c>
      <c r="AM640">
        <f t="shared" si="556"/>
        <v>761.60650437043205</v>
      </c>
      <c r="AN640">
        <f t="shared" si="557"/>
        <v>22.216914077108651</v>
      </c>
      <c r="AO640">
        <f t="shared" si="558"/>
        <v>-13.349080175263897</v>
      </c>
      <c r="AQ640">
        <f t="shared" si="559"/>
        <v>6.1035155877470973E-5</v>
      </c>
      <c r="AR640">
        <f t="shared" si="560"/>
        <v>-0.78124999523162841</v>
      </c>
      <c r="AT640">
        <f t="shared" si="561"/>
        <v>-19.415382443700917</v>
      </c>
      <c r="AU640">
        <f t="shared" si="562"/>
        <v>-0.48432121053830796</v>
      </c>
      <c r="AV640">
        <f t="shared" si="511"/>
        <v>-3.1166525942946177</v>
      </c>
      <c r="AW640">
        <f t="shared" si="512"/>
        <v>12.248281867680635</v>
      </c>
      <c r="AX640">
        <f t="shared" si="513"/>
        <v>-55.838786175210785</v>
      </c>
      <c r="AY640">
        <f t="shared" si="521"/>
        <v>-1.3548653448234691</v>
      </c>
      <c r="BA640">
        <f t="shared" si="502"/>
        <v>0.33973527417576638</v>
      </c>
      <c r="BB640">
        <f t="shared" si="514"/>
        <v>-9.3771871736051509</v>
      </c>
      <c r="BC640">
        <f t="shared" si="515"/>
        <v>-1.7617872494711486</v>
      </c>
      <c r="BD640">
        <f t="shared" si="503"/>
        <v>-280.94297391000282</v>
      </c>
      <c r="BF640">
        <f t="shared" si="504"/>
        <v>-82.822061444128693</v>
      </c>
      <c r="BG640">
        <f t="shared" si="505"/>
        <v>-204.8464782875443</v>
      </c>
      <c r="BH640">
        <f t="shared" si="516"/>
        <v>-24.846478287544301</v>
      </c>
      <c r="BI640">
        <f t="shared" si="517"/>
        <v>-24.846478287544301</v>
      </c>
      <c r="BJ640">
        <f t="shared" si="506"/>
        <v>0</v>
      </c>
      <c r="BK640">
        <f t="shared" si="518"/>
        <v>0</v>
      </c>
      <c r="BM640">
        <f t="shared" si="519"/>
        <v>-73.444874270523556</v>
      </c>
      <c r="BN640">
        <f t="shared" si="507"/>
        <v>-103.90350437754145</v>
      </c>
      <c r="BQ640" s="56">
        <f t="shared" si="520"/>
        <v>7.5247736266799858</v>
      </c>
    </row>
    <row r="641" spans="1:69" x14ac:dyDescent="0.2">
      <c r="A641">
        <f t="shared" si="563"/>
        <v>6500000</v>
      </c>
      <c r="B641">
        <f t="shared" si="508"/>
        <v>6500</v>
      </c>
      <c r="C641">
        <f t="shared" si="539"/>
        <v>4.2047153767790872</v>
      </c>
      <c r="D641">
        <f t="shared" si="540"/>
        <v>1.3306670187407508</v>
      </c>
      <c r="F641">
        <f t="shared" si="541"/>
        <v>3.3174816199784068E-6</v>
      </c>
      <c r="G641">
        <f t="shared" si="542"/>
        <v>1.0570993227897911E-3</v>
      </c>
      <c r="H641">
        <f t="shared" si="481"/>
        <v>-3.1405355506772104</v>
      </c>
      <c r="J641">
        <f t="shared" si="482"/>
        <v>15</v>
      </c>
      <c r="M641">
        <f t="shared" si="543"/>
        <v>1.2273371372566524E-4</v>
      </c>
      <c r="N641">
        <f t="shared" si="484"/>
        <v>-1.5707963250000001</v>
      </c>
      <c r="O641">
        <f t="shared" si="544"/>
        <v>735.13336024901548</v>
      </c>
      <c r="P641">
        <f t="shared" si="486"/>
        <v>1.5694360289734741</v>
      </c>
      <c r="Q641">
        <f t="shared" si="545"/>
        <v>773.5072524078405</v>
      </c>
      <c r="R641">
        <f t="shared" si="488"/>
        <v>1.5695035137340647</v>
      </c>
      <c r="S641">
        <f t="shared" si="546"/>
        <v>0.52590563539075552</v>
      </c>
      <c r="T641">
        <f t="shared" si="490"/>
        <v>-1.0170167904770018</v>
      </c>
      <c r="U641">
        <f t="shared" si="547"/>
        <v>2.5837046430177226E-2</v>
      </c>
      <c r="V641">
        <f t="shared" si="492"/>
        <v>-1.544956404901344</v>
      </c>
      <c r="X641">
        <f t="shared" si="548"/>
        <v>-74.048370506491082</v>
      </c>
      <c r="Y641">
        <f t="shared" si="549"/>
        <v>-160.64009181117353</v>
      </c>
      <c r="Z641">
        <f t="shared" si="510"/>
        <v>19.359908188826466</v>
      </c>
      <c r="AC641">
        <v>1</v>
      </c>
      <c r="AD641">
        <f t="shared" si="550"/>
        <v>735.13268010000002</v>
      </c>
      <c r="AE641">
        <f t="shared" si="551"/>
        <v>-30.023336519500504</v>
      </c>
      <c r="AF641">
        <f t="shared" si="552"/>
        <v>0.77597338454999998</v>
      </c>
      <c r="AG641">
        <f t="shared" si="553"/>
        <v>0.59913341193402547</v>
      </c>
      <c r="AH641">
        <f t="shared" si="554"/>
        <v>-24.469890881094091</v>
      </c>
      <c r="AJ641">
        <f t="shared" si="497"/>
        <v>10500</v>
      </c>
      <c r="AK641">
        <f t="shared" si="555"/>
        <v>16981.564910310004</v>
      </c>
      <c r="AL641">
        <v>16</v>
      </c>
      <c r="AM641">
        <f t="shared" si="556"/>
        <v>773.50660600122001</v>
      </c>
      <c r="AN641">
        <f t="shared" si="557"/>
        <v>22.225281343108762</v>
      </c>
      <c r="AO641">
        <f t="shared" si="558"/>
        <v>-13.114814301268241</v>
      </c>
      <c r="AQ641">
        <f t="shared" si="559"/>
        <v>5.9171597283008303E-5</v>
      </c>
      <c r="AR641">
        <f t="shared" si="560"/>
        <v>-0.76923076467910789</v>
      </c>
      <c r="AT641">
        <f t="shared" si="561"/>
        <v>-18.822957422397369</v>
      </c>
      <c r="AU641">
        <f t="shared" si="562"/>
        <v>-0.46231977513558858</v>
      </c>
      <c r="AV641">
        <f t="shared" si="511"/>
        <v>-3.1170361064408918</v>
      </c>
      <c r="AW641">
        <f t="shared" si="512"/>
        <v>12.583610143733077</v>
      </c>
      <c r="AX641">
        <f t="shared" si="513"/>
        <v>-54.957705235993814</v>
      </c>
      <c r="AY641">
        <f t="shared" si="521"/>
        <v>-1.3457073708955443</v>
      </c>
      <c r="BA641">
        <f t="shared" si="502"/>
        <v>0.33395986645445952</v>
      </c>
      <c r="BB641">
        <f t="shared" si="514"/>
        <v>-9.5261144257229091</v>
      </c>
      <c r="BC641">
        <f t="shared" si="515"/>
        <v>-1.7713287355453475</v>
      </c>
      <c r="BD641">
        <f t="shared" si="503"/>
        <v>-281.48966079296196</v>
      </c>
      <c r="BF641">
        <f t="shared" si="504"/>
        <v>-83.113386674410364</v>
      </c>
      <c r="BG641">
        <f t="shared" si="505"/>
        <v>-205.18748926495138</v>
      </c>
      <c r="BH641">
        <f t="shared" si="516"/>
        <v>-25.187489264951381</v>
      </c>
      <c r="BI641">
        <f t="shared" si="517"/>
        <v>-25.187489264951381</v>
      </c>
      <c r="BJ641">
        <f t="shared" si="506"/>
        <v>0</v>
      </c>
      <c r="BK641">
        <f t="shared" si="518"/>
        <v>0</v>
      </c>
      <c r="BM641">
        <f t="shared" si="519"/>
        <v>-73.587272248687455</v>
      </c>
      <c r="BN641">
        <f t="shared" si="507"/>
        <v>-103.69782847198941</v>
      </c>
      <c r="BQ641" s="56">
        <f t="shared" si="520"/>
        <v>7.3758463745622285</v>
      </c>
    </row>
    <row r="642" spans="1:69" x14ac:dyDescent="0.2">
      <c r="A642">
        <f t="shared" si="563"/>
        <v>6600000</v>
      </c>
      <c r="B642">
        <f t="shared" si="508"/>
        <v>6600</v>
      </c>
      <c r="C642">
        <f t="shared" si="539"/>
        <v>4.2657705832777371</v>
      </c>
      <c r="D642">
        <f t="shared" si="540"/>
        <v>1.3341700713363775</v>
      </c>
      <c r="F642">
        <f t="shared" si="541"/>
        <v>3.2177131895249758E-6</v>
      </c>
      <c r="G642">
        <f t="shared" si="542"/>
        <v>1.0410825721017909E-3</v>
      </c>
      <c r="H642">
        <f t="shared" si="481"/>
        <v>-3.1405515674278983</v>
      </c>
      <c r="J642">
        <f t="shared" si="482"/>
        <v>15</v>
      </c>
      <c r="M642">
        <f t="shared" si="543"/>
        <v>1.2087411200254909E-4</v>
      </c>
      <c r="N642">
        <f t="shared" si="484"/>
        <v>-1.5707963250000001</v>
      </c>
      <c r="O642">
        <f t="shared" si="544"/>
        <v>746.4430834837367</v>
      </c>
      <c r="P642">
        <f t="shared" si="486"/>
        <v>1.5694566395216756</v>
      </c>
      <c r="Q642">
        <f t="shared" si="545"/>
        <v>785.40734424459674</v>
      </c>
      <c r="R642">
        <f t="shared" si="488"/>
        <v>1.5695231017894118</v>
      </c>
      <c r="S642">
        <f t="shared" si="546"/>
        <v>0.52010490224122119</v>
      </c>
      <c r="T642">
        <f t="shared" si="490"/>
        <v>-1.0238225590687986</v>
      </c>
      <c r="U642">
        <f t="shared" si="547"/>
        <v>2.5445831451534676E-2</v>
      </c>
      <c r="V642">
        <f t="shared" si="492"/>
        <v>-1.5453477485546174</v>
      </c>
      <c r="X642">
        <f t="shared" si="548"/>
        <v>-74.284627380615888</v>
      </c>
      <c r="Y642">
        <f t="shared" si="549"/>
        <v>-160.85036032048674</v>
      </c>
      <c r="Z642">
        <f t="shared" si="510"/>
        <v>19.149639679513257</v>
      </c>
      <c r="AC642">
        <v>1</v>
      </c>
      <c r="AD642">
        <f t="shared" si="550"/>
        <v>746.44241364000004</v>
      </c>
      <c r="AE642">
        <f t="shared" si="551"/>
        <v>-30.954237604483836</v>
      </c>
      <c r="AF642">
        <f t="shared" si="552"/>
        <v>0.78791143661999996</v>
      </c>
      <c r="AG642">
        <f t="shared" si="553"/>
        <v>0.58112706259338254</v>
      </c>
      <c r="AH642">
        <f t="shared" si="554"/>
        <v>-24.099593293591397</v>
      </c>
      <c r="AJ642">
        <f t="shared" si="497"/>
        <v>10500</v>
      </c>
      <c r="AK642">
        <f t="shared" si="555"/>
        <v>17242.819755084001</v>
      </c>
      <c r="AL642">
        <v>17</v>
      </c>
      <c r="AM642">
        <f t="shared" si="556"/>
        <v>785.40670763200808</v>
      </c>
      <c r="AN642">
        <f t="shared" si="557"/>
        <v>22.232952030055344</v>
      </c>
      <c r="AO642">
        <f t="shared" si="558"/>
        <v>-12.887641163655056</v>
      </c>
      <c r="AQ642">
        <f t="shared" si="559"/>
        <v>5.7392102517262957E-5</v>
      </c>
      <c r="AR642">
        <f t="shared" si="560"/>
        <v>-0.75757575322787107</v>
      </c>
      <c r="AT642">
        <f t="shared" si="561"/>
        <v>-18.2572341897739</v>
      </c>
      <c r="AU642">
        <f t="shared" si="562"/>
        <v>-0.44163089849421205</v>
      </c>
      <c r="AV642">
        <f t="shared" si="511"/>
        <v>-3.1174080050471225</v>
      </c>
      <c r="AW642">
        <f t="shared" si="512"/>
        <v>12.903157256398488</v>
      </c>
      <c r="AX642">
        <f t="shared" si="513"/>
        <v>-54.102766716064359</v>
      </c>
      <c r="AY642">
        <f t="shared" si="521"/>
        <v>-1.3366763002334168</v>
      </c>
      <c r="BA642">
        <f t="shared" si="502"/>
        <v>0.32834459345098937</v>
      </c>
      <c r="BB642">
        <f t="shared" si="514"/>
        <v>-9.6734026089215472</v>
      </c>
      <c r="BC642">
        <f t="shared" si="515"/>
        <v>-1.7807317048137057</v>
      </c>
      <c r="BD642">
        <f t="shared" si="503"/>
        <v>-282.02841124754571</v>
      </c>
      <c r="BF642">
        <f t="shared" si="504"/>
        <v>-83.400680913370422</v>
      </c>
      <c r="BG642">
        <f t="shared" si="505"/>
        <v>-205.52644728238101</v>
      </c>
      <c r="BH642">
        <f t="shared" si="516"/>
        <v>-25.526447282381014</v>
      </c>
      <c r="BI642">
        <f t="shared" si="517"/>
        <v>-25.526447282381014</v>
      </c>
      <c r="BJ642">
        <f t="shared" si="506"/>
        <v>0</v>
      </c>
      <c r="BK642">
        <f t="shared" si="518"/>
        <v>0</v>
      </c>
      <c r="BM642">
        <f t="shared" si="519"/>
        <v>-73.727278304448859</v>
      </c>
      <c r="BN642">
        <f t="shared" si="507"/>
        <v>-103.49803603483529</v>
      </c>
      <c r="BQ642" s="56">
        <f t="shared" si="520"/>
        <v>7.2285581913635895</v>
      </c>
    </row>
    <row r="643" spans="1:69" x14ac:dyDescent="0.2">
      <c r="A643">
        <f t="shared" si="563"/>
        <v>6700000</v>
      </c>
      <c r="B643">
        <f t="shared" si="508"/>
        <v>6700</v>
      </c>
      <c r="C643">
        <f t="shared" si="539"/>
        <v>4.3268766589880618</v>
      </c>
      <c r="D643">
        <f t="shared" si="540"/>
        <v>1.3375742213961828</v>
      </c>
      <c r="F643">
        <f t="shared" si="541"/>
        <v>3.1223785956015013E-6</v>
      </c>
      <c r="G643">
        <f t="shared" si="542"/>
        <v>1.0255439375021042E-3</v>
      </c>
      <c r="H643">
        <f t="shared" si="481"/>
        <v>-3.1405671060624982</v>
      </c>
      <c r="J643">
        <f t="shared" si="482"/>
        <v>15</v>
      </c>
      <c r="M643">
        <f t="shared" si="543"/>
        <v>1.1907002077863044E-4</v>
      </c>
      <c r="N643">
        <f t="shared" si="484"/>
        <v>-1.5707963250000001</v>
      </c>
      <c r="O643">
        <f t="shared" si="544"/>
        <v>757.75280702607779</v>
      </c>
      <c r="P643">
        <f t="shared" si="486"/>
        <v>1.5694766348307201</v>
      </c>
      <c r="Q643">
        <f t="shared" si="545"/>
        <v>797.30743637371188</v>
      </c>
      <c r="R643">
        <f t="shared" si="488"/>
        <v>1.5695421051276224</v>
      </c>
      <c r="S643">
        <f t="shared" si="546"/>
        <v>0.51440768525688019</v>
      </c>
      <c r="T643">
        <f t="shared" si="490"/>
        <v>-1.0304795299457772</v>
      </c>
      <c r="U643">
        <f t="shared" si="547"/>
        <v>2.5066283357225657E-2</v>
      </c>
      <c r="V643">
        <f t="shared" si="492"/>
        <v>-1.5457274177600273</v>
      </c>
      <c r="X643">
        <f t="shared" si="548"/>
        <v>-74.517909465557466</v>
      </c>
      <c r="Y643">
        <f t="shared" si="549"/>
        <v>-161.05714250842797</v>
      </c>
      <c r="Z643">
        <f t="shared" si="510"/>
        <v>18.942857491572028</v>
      </c>
      <c r="AC643">
        <v>1</v>
      </c>
      <c r="AD643">
        <f t="shared" si="550"/>
        <v>757.75214718000007</v>
      </c>
      <c r="AE643">
        <f t="shared" si="551"/>
        <v>-31.899350919772253</v>
      </c>
      <c r="AF643">
        <f t="shared" si="552"/>
        <v>0.79984948869000005</v>
      </c>
      <c r="AG643">
        <f t="shared" si="553"/>
        <v>0.5639202600434674</v>
      </c>
      <c r="AH643">
        <f t="shared" si="554"/>
        <v>-23.74032931745149</v>
      </c>
      <c r="AJ643">
        <f t="shared" si="497"/>
        <v>10500</v>
      </c>
      <c r="AK643">
        <f t="shared" si="555"/>
        <v>17504.074599858002</v>
      </c>
      <c r="AL643">
        <v>18</v>
      </c>
      <c r="AM643">
        <f t="shared" si="556"/>
        <v>797.30680926279604</v>
      </c>
      <c r="AN643">
        <f t="shared" si="557"/>
        <v>22.239976879165926</v>
      </c>
      <c r="AO643">
        <f t="shared" si="558"/>
        <v>-12.667244652674365</v>
      </c>
      <c r="AQ643">
        <f t="shared" si="559"/>
        <v>5.5691690489576241E-5</v>
      </c>
      <c r="AR643">
        <f t="shared" si="560"/>
        <v>-0.7462686525603216</v>
      </c>
      <c r="AT643">
        <f t="shared" si="561"/>
        <v>-17.716632165400238</v>
      </c>
      <c r="AU643">
        <f t="shared" si="562"/>
        <v>-0.42215815168657272</v>
      </c>
      <c r="AV643">
        <f t="shared" si="511"/>
        <v>-3.1177688096535672</v>
      </c>
      <c r="AW643">
        <f t="shared" si="512"/>
        <v>13.207876629487929</v>
      </c>
      <c r="AX643">
        <f t="shared" si="513"/>
        <v>-53.272840854493509</v>
      </c>
      <c r="AY643">
        <f t="shared" si="521"/>
        <v>-1.3277678857586166</v>
      </c>
      <c r="BA643">
        <f t="shared" si="502"/>
        <v>0.32288284169155412</v>
      </c>
      <c r="BB643">
        <f t="shared" si="514"/>
        <v>-9.8191006640215974</v>
      </c>
      <c r="BC643">
        <f t="shared" si="515"/>
        <v>-1.7900009238949506</v>
      </c>
      <c r="BD643">
        <f t="shared" si="503"/>
        <v>-282.55949838089003</v>
      </c>
      <c r="BF643">
        <f t="shared" si="504"/>
        <v>-83.684073950977051</v>
      </c>
      <c r="BG643">
        <f t="shared" si="505"/>
        <v>-205.8633812824294</v>
      </c>
      <c r="BH643">
        <f t="shared" si="516"/>
        <v>-25.863381282429401</v>
      </c>
      <c r="BI643">
        <f t="shared" si="517"/>
        <v>-25.863381282429401</v>
      </c>
      <c r="BJ643">
        <f t="shared" si="506"/>
        <v>0</v>
      </c>
      <c r="BK643">
        <f t="shared" si="518"/>
        <v>0</v>
      </c>
      <c r="BM643">
        <f t="shared" si="519"/>
        <v>-73.864973286955447</v>
      </c>
      <c r="BN643">
        <f t="shared" si="507"/>
        <v>-103.30388290153937</v>
      </c>
      <c r="BQ643" s="56">
        <f t="shared" si="520"/>
        <v>7.0828601362635393</v>
      </c>
    </row>
    <row r="644" spans="1:69" x14ac:dyDescent="0.2">
      <c r="A644">
        <f t="shared" si="563"/>
        <v>6800000</v>
      </c>
      <c r="B644">
        <f t="shared" si="508"/>
        <v>6800</v>
      </c>
      <c r="C644">
        <f t="shared" si="539"/>
        <v>4.3880314787540593</v>
      </c>
      <c r="D644">
        <f t="shared" si="540"/>
        <v>1.340883523463726</v>
      </c>
      <c r="F644">
        <f t="shared" si="541"/>
        <v>3.0312189505994205E-6</v>
      </c>
      <c r="G644">
        <f t="shared" si="542"/>
        <v>1.0104623253964391E-3</v>
      </c>
      <c r="H644">
        <f t="shared" si="481"/>
        <v>-3.1405821876746036</v>
      </c>
      <c r="J644">
        <f t="shared" si="482"/>
        <v>15</v>
      </c>
      <c r="M644">
        <f t="shared" si="543"/>
        <v>1.1731899106129766E-4</v>
      </c>
      <c r="N644">
        <f t="shared" si="484"/>
        <v>-1.5707963250000001</v>
      </c>
      <c r="O644">
        <f t="shared" si="544"/>
        <v>769.06253086246738</v>
      </c>
      <c r="P644">
        <f t="shared" si="486"/>
        <v>1.5694960420434492</v>
      </c>
      <c r="Q644">
        <f t="shared" si="545"/>
        <v>809.20752878228757</v>
      </c>
      <c r="R644">
        <f t="shared" si="488"/>
        <v>1.5695605495449876</v>
      </c>
      <c r="S644">
        <f t="shared" si="546"/>
        <v>0.50881211029649454</v>
      </c>
      <c r="T644">
        <f t="shared" si="490"/>
        <v>-1.0369919590940333</v>
      </c>
      <c r="U644">
        <f t="shared" si="547"/>
        <v>2.4697888074151242E-2</v>
      </c>
      <c r="V644">
        <f t="shared" si="492"/>
        <v>-1.5460959271382817</v>
      </c>
      <c r="X644">
        <f t="shared" si="548"/>
        <v>-74.748291090247804</v>
      </c>
      <c r="Y644">
        <f t="shared" si="549"/>
        <v>-161.26047757778397</v>
      </c>
      <c r="Z644">
        <f t="shared" si="510"/>
        <v>18.739522422216027</v>
      </c>
      <c r="AC644">
        <v>1</v>
      </c>
      <c r="AD644">
        <f t="shared" si="550"/>
        <v>769.06188072000009</v>
      </c>
      <c r="AE644">
        <f t="shared" si="551"/>
        <v>-32.858676465365761</v>
      </c>
      <c r="AF644">
        <f t="shared" si="552"/>
        <v>0.81178754075999993</v>
      </c>
      <c r="AG644">
        <f t="shared" si="553"/>
        <v>0.54746636788019309</v>
      </c>
      <c r="AH644">
        <f t="shared" si="554"/>
        <v>-23.391613327874623</v>
      </c>
      <c r="AJ644">
        <f t="shared" si="497"/>
        <v>10500</v>
      </c>
      <c r="AK644">
        <f t="shared" si="555"/>
        <v>17765.329444632003</v>
      </c>
      <c r="AL644">
        <v>19</v>
      </c>
      <c r="AM644">
        <f t="shared" si="556"/>
        <v>809.20691089358399</v>
      </c>
      <c r="AN644">
        <f t="shared" si="557"/>
        <v>22.246402517293092</v>
      </c>
      <c r="AO644">
        <f t="shared" si="558"/>
        <v>-12.453327099052252</v>
      </c>
      <c r="AQ644">
        <f t="shared" si="559"/>
        <v>5.4065743652326213E-5</v>
      </c>
      <c r="AR644">
        <f t="shared" si="560"/>
        <v>-0.73529411367163655</v>
      </c>
      <c r="AT644">
        <f t="shared" si="561"/>
        <v>-17.199685990092906</v>
      </c>
      <c r="AU644">
        <f t="shared" si="562"/>
        <v>-0.40381348270529588</v>
      </c>
      <c r="AV644">
        <f t="shared" si="511"/>
        <v>-3.1181190092729936</v>
      </c>
      <c r="AW644">
        <f t="shared" si="512"/>
        <v>13.498651414427359</v>
      </c>
      <c r="AX644">
        <f t="shared" si="513"/>
        <v>-52.466861058340776</v>
      </c>
      <c r="AY644">
        <f t="shared" si="521"/>
        <v>-1.3189781262144926</v>
      </c>
      <c r="BA644">
        <f t="shared" si="502"/>
        <v>0.31756836241846792</v>
      </c>
      <c r="BB644">
        <f t="shared" si="514"/>
        <v>-9.9632554089969947</v>
      </c>
      <c r="BC644">
        <f t="shared" si="515"/>
        <v>-1.799140883058501</v>
      </c>
      <c r="BD644">
        <f t="shared" si="503"/>
        <v>-283.08317946648179</v>
      </c>
      <c r="BF644">
        <f t="shared" si="504"/>
        <v>-83.963689390957114</v>
      </c>
      <c r="BG644">
        <f t="shared" si="505"/>
        <v>-206.19831743892323</v>
      </c>
      <c r="BH644">
        <f t="shared" si="516"/>
        <v>-26.198317438923226</v>
      </c>
      <c r="BI644">
        <f t="shared" si="517"/>
        <v>-26.198317438923226</v>
      </c>
      <c r="BJ644">
        <f t="shared" si="506"/>
        <v>0</v>
      </c>
      <c r="BK644">
        <f t="shared" si="518"/>
        <v>0</v>
      </c>
      <c r="BM644">
        <f t="shared" si="519"/>
        <v>-74.000433981960128</v>
      </c>
      <c r="BN644">
        <f t="shared" si="507"/>
        <v>-103.11513797244145</v>
      </c>
      <c r="BQ644" s="56">
        <f t="shared" si="520"/>
        <v>6.9387053912881411</v>
      </c>
    </row>
    <row r="645" spans="1:69" x14ac:dyDescent="0.2">
      <c r="A645">
        <f t="shared" si="563"/>
        <v>6900000</v>
      </c>
      <c r="B645">
        <f t="shared" si="508"/>
        <v>6900</v>
      </c>
      <c r="C645">
        <f t="shared" si="539"/>
        <v>4.4492330326113727</v>
      </c>
      <c r="D645">
        <f t="shared" si="540"/>
        <v>1.3441018175721517</v>
      </c>
      <c r="F645">
        <f t="shared" si="541"/>
        <v>2.9439939900131787E-6</v>
      </c>
      <c r="G645">
        <f t="shared" si="542"/>
        <v>9.9581786502439648E-4</v>
      </c>
      <c r="H645">
        <f t="shared" si="481"/>
        <v>-3.140596832134976</v>
      </c>
      <c r="J645">
        <f t="shared" si="482"/>
        <v>15</v>
      </c>
      <c r="M645">
        <f t="shared" si="543"/>
        <v>1.1561871582852523E-4</v>
      </c>
      <c r="N645">
        <f t="shared" si="484"/>
        <v>-1.5707963250000001</v>
      </c>
      <c r="O645">
        <f t="shared" si="544"/>
        <v>780.37225498012037</v>
      </c>
      <c r="P645">
        <f t="shared" si="486"/>
        <v>1.5695148867292104</v>
      </c>
      <c r="Q645">
        <f t="shared" si="545"/>
        <v>821.10762145817353</v>
      </c>
      <c r="R645">
        <f t="shared" si="488"/>
        <v>1.5695784593423643</v>
      </c>
      <c r="S645">
        <f t="shared" si="546"/>
        <v>0.50331629756833696</v>
      </c>
      <c r="T645">
        <f t="shared" si="490"/>
        <v>-1.0433639687521958</v>
      </c>
      <c r="U645">
        <f t="shared" si="547"/>
        <v>2.4340161285052779E-2</v>
      </c>
      <c r="V645">
        <f t="shared" si="492"/>
        <v>-1.5464537615073561</v>
      </c>
      <c r="X645">
        <f t="shared" si="548"/>
        <v>-74.975843583070144</v>
      </c>
      <c r="Y645">
        <f t="shared" si="549"/>
        <v>-161.46040775692043</v>
      </c>
      <c r="Z645">
        <f t="shared" si="510"/>
        <v>18.539592243079568</v>
      </c>
      <c r="AC645">
        <v>1</v>
      </c>
      <c r="AD645">
        <f t="shared" si="550"/>
        <v>780.37161426000011</v>
      </c>
      <c r="AE645">
        <f t="shared" si="551"/>
        <v>-33.832214241264353</v>
      </c>
      <c r="AF645">
        <f t="shared" si="552"/>
        <v>0.82372559283000002</v>
      </c>
      <c r="AG645">
        <f t="shared" si="553"/>
        <v>0.53172210040967238</v>
      </c>
      <c r="AH645">
        <f t="shared" si="554"/>
        <v>-23.052987770642353</v>
      </c>
      <c r="AJ645">
        <f t="shared" si="497"/>
        <v>10500</v>
      </c>
      <c r="AK645">
        <f t="shared" si="555"/>
        <v>18026.584289406001</v>
      </c>
      <c r="AL645">
        <v>20</v>
      </c>
      <c r="AM645">
        <f t="shared" si="556"/>
        <v>821.10701252437218</v>
      </c>
      <c r="AN645">
        <f t="shared" si="557"/>
        <v>22.252271835195121</v>
      </c>
      <c r="AO645">
        <f t="shared" si="558"/>
        <v>-12.245607953564575</v>
      </c>
      <c r="AQ645">
        <f t="shared" si="559"/>
        <v>5.25099766198804E-5</v>
      </c>
      <c r="AR645">
        <f t="shared" si="560"/>
        <v>-0.72463767735434947</v>
      </c>
      <c r="AT645">
        <f t="shared" si="561"/>
        <v>-16.705035593481441</v>
      </c>
      <c r="AU645">
        <f t="shared" si="562"/>
        <v>-0.38651637968769603</v>
      </c>
      <c r="AV645">
        <f t="shared" si="511"/>
        <v>-3.1184590645999499</v>
      </c>
      <c r="AW645">
        <f t="shared" si="512"/>
        <v>13.776300583776361</v>
      </c>
      <c r="AX645">
        <f t="shared" si="513"/>
        <v>-51.683819624741481</v>
      </c>
      <c r="AY645">
        <f t="shared" si="521"/>
        <v>-1.3103032484405845</v>
      </c>
      <c r="BA645">
        <f t="shared" si="502"/>
        <v>0.31239524692514303</v>
      </c>
      <c r="BB645">
        <f t="shared" si="514"/>
        <v>-10.105911650176818</v>
      </c>
      <c r="BC645">
        <f t="shared" si="515"/>
        <v>-1.8081558161593654</v>
      </c>
      <c r="BD645">
        <f t="shared" si="503"/>
        <v>-283.59969708634435</v>
      </c>
      <c r="BF645">
        <f t="shared" si="504"/>
        <v>-84.239645029242837</v>
      </c>
      <c r="BG645">
        <f t="shared" si="505"/>
        <v>-206.53127945470399</v>
      </c>
      <c r="BH645">
        <f t="shared" si="516"/>
        <v>-26.531279454703991</v>
      </c>
      <c r="BI645">
        <f t="shared" si="517"/>
        <v>-26.531279454703991</v>
      </c>
      <c r="BJ645">
        <f t="shared" si="506"/>
        <v>0</v>
      </c>
      <c r="BK645">
        <f t="shared" si="518"/>
        <v>0</v>
      </c>
      <c r="BM645">
        <f t="shared" si="519"/>
        <v>-74.133733379066001</v>
      </c>
      <c r="BN645">
        <f t="shared" si="507"/>
        <v>-102.93158236835967</v>
      </c>
      <c r="BQ645" s="56">
        <f t="shared" si="520"/>
        <v>6.7960491501083187</v>
      </c>
    </row>
    <row r="646" spans="1:69" x14ac:dyDescent="0.2">
      <c r="A646">
        <f t="shared" si="563"/>
        <v>7000000</v>
      </c>
      <c r="B646">
        <f t="shared" si="508"/>
        <v>7000</v>
      </c>
      <c r="C646">
        <f t="shared" si="539"/>
        <v>4.5104794181912293</v>
      </c>
      <c r="D646">
        <f t="shared" si="540"/>
        <v>1.3472327429662627</v>
      </c>
      <c r="F646">
        <f t="shared" si="541"/>
        <v>2.8604804876803631E-6</v>
      </c>
      <c r="G646">
        <f t="shared" si="542"/>
        <v>9.8159182111278213E-4</v>
      </c>
      <c r="H646">
        <f t="shared" si="481"/>
        <v>-3.1406110581788873</v>
      </c>
      <c r="J646">
        <f t="shared" si="482"/>
        <v>15</v>
      </c>
      <c r="M646">
        <f t="shared" si="543"/>
        <v>1.1396701988811773E-4</v>
      </c>
      <c r="N646">
        <f t="shared" si="484"/>
        <v>-1.5707963250000001</v>
      </c>
      <c r="O646">
        <f t="shared" si="544"/>
        <v>791.68197936698323</v>
      </c>
      <c r="P646">
        <f t="shared" si="486"/>
        <v>1.5695331929962499</v>
      </c>
      <c r="Q646">
        <f t="shared" si="545"/>
        <v>833.00771438991353</v>
      </c>
      <c r="R646">
        <f t="shared" si="488"/>
        <v>1.5695958574319926</v>
      </c>
      <c r="S646">
        <f t="shared" si="546"/>
        <v>0.49791836680128571</v>
      </c>
      <c r="T646">
        <f t="shared" si="490"/>
        <v>-1.0495995509415679</v>
      </c>
      <c r="U646">
        <f t="shared" si="547"/>
        <v>2.3992646306907249E-2</v>
      </c>
      <c r="V646">
        <f t="shared" si="492"/>
        <v>-1.5468013780087173</v>
      </c>
      <c r="X646">
        <f t="shared" si="548"/>
        <v>-75.200635453693664</v>
      </c>
      <c r="Y646">
        <f t="shared" si="549"/>
        <v>-161.6569778300952</v>
      </c>
      <c r="Z646">
        <f t="shared" si="510"/>
        <v>18.343022169904799</v>
      </c>
      <c r="AC646">
        <v>1</v>
      </c>
      <c r="AD646">
        <f t="shared" si="550"/>
        <v>791.68134780000003</v>
      </c>
      <c r="AE646">
        <f t="shared" si="551"/>
        <v>-34.819964247468036</v>
      </c>
      <c r="AF646">
        <f t="shared" si="552"/>
        <v>0.83566364489999989</v>
      </c>
      <c r="AG646">
        <f t="shared" si="553"/>
        <v>0.51664723791109513</v>
      </c>
      <c r="AH646">
        <f t="shared" si="554"/>
        <v>-22.724021163909612</v>
      </c>
      <c r="AJ646">
        <f t="shared" si="497"/>
        <v>10500</v>
      </c>
      <c r="AK646">
        <f t="shared" si="555"/>
        <v>18287.839134180005</v>
      </c>
      <c r="AL646">
        <v>21</v>
      </c>
      <c r="AM646">
        <f t="shared" si="556"/>
        <v>833.00711415516014</v>
      </c>
      <c r="AN646">
        <f t="shared" si="557"/>
        <v>22.257624326682034</v>
      </c>
      <c r="AO646">
        <f t="shared" si="558"/>
        <v>-12.043822578051783</v>
      </c>
      <c r="AQ646">
        <f t="shared" si="559"/>
        <v>5.1020407902957101E-5</v>
      </c>
      <c r="AR646">
        <f t="shared" si="560"/>
        <v>-0.71428571064139945</v>
      </c>
      <c r="AT646">
        <f t="shared" si="561"/>
        <v>-16.231417246140559</v>
      </c>
      <c r="AU646">
        <f t="shared" si="562"/>
        <v>-0.37019312831122086</v>
      </c>
      <c r="AV646">
        <f t="shared" si="511"/>
        <v>-3.1187894100309532</v>
      </c>
      <c r="AW646">
        <f t="shared" si="512"/>
        <v>14.041584419148988</v>
      </c>
      <c r="AX646">
        <f t="shared" si="513"/>
        <v>-50.922763799038776</v>
      </c>
      <c r="AY646">
        <f t="shared" si="521"/>
        <v>-1.3017396911180059</v>
      </c>
      <c r="BA646">
        <f t="shared" si="502"/>
        <v>0.30735790384010342</v>
      </c>
      <c r="BB646">
        <f t="shared" si="514"/>
        <v>-10.247112286619295</v>
      </c>
      <c r="BC646">
        <f t="shared" si="515"/>
        <v>-1.8170497189129473</v>
      </c>
      <c r="BD646">
        <f t="shared" si="503"/>
        <v>-284.10928017810664</v>
      </c>
      <c r="BF646">
        <f t="shared" si="504"/>
        <v>-84.512053204151528</v>
      </c>
      <c r="BG646">
        <f t="shared" si="505"/>
        <v>-206.86228882748463</v>
      </c>
      <c r="BH646">
        <f t="shared" si="516"/>
        <v>-26.862288827484633</v>
      </c>
      <c r="BI646">
        <f t="shared" si="517"/>
        <v>-26.862288827484633</v>
      </c>
      <c r="BJ646">
        <f t="shared" si="506"/>
        <v>0</v>
      </c>
      <c r="BK646">
        <f t="shared" si="518"/>
        <v>0</v>
      </c>
      <c r="BM646">
        <f t="shared" si="519"/>
        <v>-74.264940917532243</v>
      </c>
      <c r="BN646">
        <f t="shared" si="507"/>
        <v>-102.75300864937802</v>
      </c>
      <c r="BQ646" s="56">
        <f t="shared" si="520"/>
        <v>6.6548485136658417</v>
      </c>
    </row>
    <row r="647" spans="1:69" x14ac:dyDescent="0.2">
      <c r="A647">
        <f t="shared" si="563"/>
        <v>7100000</v>
      </c>
      <c r="B647">
        <f t="shared" si="508"/>
        <v>7100</v>
      </c>
      <c r="C647">
        <f t="shared" si="539"/>
        <v>4.5717688337093341</v>
      </c>
      <c r="D647">
        <f t="shared" si="540"/>
        <v>1.3502797508070243</v>
      </c>
      <c r="F647">
        <f t="shared" si="541"/>
        <v>2.7804708261528871E-6</v>
      </c>
      <c r="G647">
        <f t="shared" si="542"/>
        <v>9.6776651391046172E-4</v>
      </c>
      <c r="H647">
        <f t="shared" si="481"/>
        <v>-3.1406248834860899</v>
      </c>
      <c r="J647">
        <f t="shared" si="482"/>
        <v>15</v>
      </c>
      <c r="M647">
        <f t="shared" si="543"/>
        <v>1.1236185059391887E-4</v>
      </c>
      <c r="N647">
        <f t="shared" si="484"/>
        <v>-1.5707963250000001</v>
      </c>
      <c r="O647">
        <f t="shared" si="544"/>
        <v>802.99170401168055</v>
      </c>
      <c r="P647">
        <f t="shared" si="486"/>
        <v>1.5695509835946069</v>
      </c>
      <c r="Q647">
        <f t="shared" si="545"/>
        <v>844.90780756669687</v>
      </c>
      <c r="R647">
        <f t="shared" si="488"/>
        <v>1.5696127654352856</v>
      </c>
      <c r="S647">
        <f t="shared" si="546"/>
        <v>0.49261644183351749</v>
      </c>
      <c r="T647">
        <f t="shared" si="490"/>
        <v>-1.0557025710272521</v>
      </c>
      <c r="U647">
        <f t="shared" si="547"/>
        <v>2.3654912148245579E-2</v>
      </c>
      <c r="V647">
        <f t="shared" si="492"/>
        <v>-1.5471392080541095</v>
      </c>
      <c r="X647">
        <f t="shared" si="548"/>
        <v>-75.422732559898179</v>
      </c>
      <c r="Y647">
        <f t="shared" si="549"/>
        <v>-161.85023471820773</v>
      </c>
      <c r="Z647">
        <f t="shared" si="510"/>
        <v>18.14976528179227</v>
      </c>
      <c r="AC647">
        <v>1</v>
      </c>
      <c r="AD647">
        <f t="shared" si="550"/>
        <v>802.99108134000005</v>
      </c>
      <c r="AE647">
        <f t="shared" si="551"/>
        <v>-35.82192648397681</v>
      </c>
      <c r="AF647">
        <f t="shared" si="552"/>
        <v>0.84760169696999998</v>
      </c>
      <c r="AG647">
        <f t="shared" si="553"/>
        <v>0.50220436972895832</v>
      </c>
      <c r="AH647">
        <f t="shared" si="554"/>
        <v>-22.404306268200859</v>
      </c>
      <c r="AJ647">
        <f t="shared" si="497"/>
        <v>10500</v>
      </c>
      <c r="AK647">
        <f t="shared" si="555"/>
        <v>18549.093978954003</v>
      </c>
      <c r="AL647">
        <v>22</v>
      </c>
      <c r="AM647">
        <f t="shared" si="556"/>
        <v>844.9072157859481</v>
      </c>
      <c r="AN647">
        <f t="shared" si="557"/>
        <v>22.262496393136988</v>
      </c>
      <c r="AO647">
        <f t="shared" si="558"/>
        <v>-11.847721137094672</v>
      </c>
      <c r="AQ647">
        <f t="shared" si="559"/>
        <v>4.9593334409872377E-5</v>
      </c>
      <c r="AR647">
        <f t="shared" si="560"/>
        <v>-0.70422534862018771</v>
      </c>
      <c r="AT647">
        <f t="shared" si="561"/>
        <v>-15.777655486327957</v>
      </c>
      <c r="AU647">
        <f t="shared" si="562"/>
        <v>-0.35477615160393744</v>
      </c>
      <c r="AV647">
        <f t="shared" si="511"/>
        <v>-3.1191104555142011</v>
      </c>
      <c r="AW647">
        <f t="shared" si="512"/>
        <v>14.29520946118611</v>
      </c>
      <c r="AX647">
        <f t="shared" si="513"/>
        <v>-50.182792139310919</v>
      </c>
      <c r="AY647">
        <f t="shared" si="521"/>
        <v>-1.2932840898471361</v>
      </c>
      <c r="BA647">
        <f t="shared" si="502"/>
        <v>0.30245103818498148</v>
      </c>
      <c r="BB647">
        <f t="shared" si="514"/>
        <v>-10.3868984081394</v>
      </c>
      <c r="BC647">
        <f t="shared" si="515"/>
        <v>-1.825826365667065</v>
      </c>
      <c r="BD647">
        <f t="shared" si="503"/>
        <v>-284.6121449959694</v>
      </c>
      <c r="BF647">
        <f t="shared" si="504"/>
        <v>-84.781021120788282</v>
      </c>
      <c r="BG647">
        <f t="shared" si="505"/>
        <v>-207.19136508748306</v>
      </c>
      <c r="BH647">
        <f t="shared" si="516"/>
        <v>-27.191365087483064</v>
      </c>
      <c r="BI647">
        <f t="shared" si="517"/>
        <v>-27.191365087483064</v>
      </c>
      <c r="BJ647">
        <f t="shared" si="506"/>
        <v>0</v>
      </c>
      <c r="BK647">
        <f t="shared" si="518"/>
        <v>0</v>
      </c>
      <c r="BM647">
        <f t="shared" si="519"/>
        <v>-74.39412271264888</v>
      </c>
      <c r="BN647">
        <f t="shared" si="507"/>
        <v>-102.57922009151372</v>
      </c>
      <c r="BQ647" s="56">
        <f t="shared" si="520"/>
        <v>6.5150623921457376</v>
      </c>
    </row>
    <row r="648" spans="1:69" x14ac:dyDescent="0.2">
      <c r="A648">
        <f t="shared" si="563"/>
        <v>7200000</v>
      </c>
      <c r="B648">
        <f t="shared" si="508"/>
        <v>7200</v>
      </c>
      <c r="C648">
        <f t="shared" si="539"/>
        <v>4.6330995714886321</v>
      </c>
      <c r="D648">
        <f t="shared" si="540"/>
        <v>1.3532461159433613</v>
      </c>
      <c r="F648">
        <f t="shared" si="541"/>
        <v>2.703771705083775E-6</v>
      </c>
      <c r="G648">
        <f t="shared" si="542"/>
        <v>9.5432524588710062E-4</v>
      </c>
      <c r="H648">
        <f t="shared" si="481"/>
        <v>-3.140638324754113</v>
      </c>
      <c r="J648">
        <f t="shared" si="482"/>
        <v>15</v>
      </c>
      <c r="M648">
        <f t="shared" si="543"/>
        <v>1.1080126933566999E-4</v>
      </c>
      <c r="N648">
        <f t="shared" si="484"/>
        <v>-1.5707963250000001</v>
      </c>
      <c r="O648">
        <f t="shared" si="544"/>
        <v>814.3014289034694</v>
      </c>
      <c r="P648">
        <f t="shared" si="486"/>
        <v>1.569568280010432</v>
      </c>
      <c r="Q648">
        <f t="shared" si="545"/>
        <v>856.80790097831334</v>
      </c>
      <c r="R648">
        <f t="shared" si="488"/>
        <v>1.5696292037724693</v>
      </c>
      <c r="S648">
        <f t="shared" si="546"/>
        <v>0.48740865467105371</v>
      </c>
      <c r="T648">
        <f t="shared" si="490"/>
        <v>-1.0616767712905972</v>
      </c>
      <c r="U648">
        <f t="shared" si="547"/>
        <v>2.3326551728038655E-2</v>
      </c>
      <c r="V648">
        <f t="shared" si="492"/>
        <v>-1.5474676591103256</v>
      </c>
      <c r="X648">
        <f t="shared" si="548"/>
        <v>-75.642198260905189</v>
      </c>
      <c r="Y648">
        <f t="shared" si="549"/>
        <v>-162.0402271049301</v>
      </c>
      <c r="Z648">
        <f t="shared" si="510"/>
        <v>17.959772895069904</v>
      </c>
      <c r="AC648">
        <v>1</v>
      </c>
      <c r="AD648">
        <f t="shared" si="550"/>
        <v>814.30081487999996</v>
      </c>
      <c r="AE648">
        <f t="shared" si="551"/>
        <v>-36.838100950790682</v>
      </c>
      <c r="AF648">
        <f t="shared" si="552"/>
        <v>0.85953974903999997</v>
      </c>
      <c r="AG648">
        <f t="shared" si="553"/>
        <v>0.48835866212952761</v>
      </c>
      <c r="AH648">
        <f t="shared" si="554"/>
        <v>-22.093458408328804</v>
      </c>
      <c r="AJ648">
        <f t="shared" si="497"/>
        <v>10500</v>
      </c>
      <c r="AK648">
        <f t="shared" si="555"/>
        <v>18810.348823728003</v>
      </c>
      <c r="AL648">
        <v>23</v>
      </c>
      <c r="AM648">
        <f t="shared" si="556"/>
        <v>856.80731741673617</v>
      </c>
      <c r="AN648">
        <f t="shared" si="557"/>
        <v>22.26692161734379</v>
      </c>
      <c r="AO648">
        <f t="shared" si="558"/>
        <v>-11.657067580741927</v>
      </c>
      <c r="AQ648">
        <f t="shared" si="559"/>
        <v>4.8225308409407272E-5</v>
      </c>
      <c r="AR648">
        <f t="shared" si="560"/>
        <v>-0.69444444109546466</v>
      </c>
      <c r="AT648">
        <f t="shared" si="561"/>
        <v>-15.342655824990695</v>
      </c>
      <c r="AU648">
        <f t="shared" si="562"/>
        <v>-0.34020342202224069</v>
      </c>
      <c r="AV648">
        <f t="shared" si="511"/>
        <v>-3.1194225882453539</v>
      </c>
      <c r="AW648">
        <f t="shared" si="512"/>
        <v>14.53783298086155</v>
      </c>
      <c r="AX648">
        <f t="shared" si="513"/>
        <v>-49.46305116050398</v>
      </c>
      <c r="AY648">
        <f t="shared" si="521"/>
        <v>-1.284933263433609</v>
      </c>
      <c r="BA648">
        <f t="shared" si="502"/>
        <v>0.29766963204897756</v>
      </c>
      <c r="BB648">
        <f t="shared" si="514"/>
        <v>-10.525309387433548</v>
      </c>
      <c r="BC648">
        <f t="shared" si="515"/>
        <v>-1.8344893248117449</v>
      </c>
      <c r="BD648">
        <f t="shared" si="503"/>
        <v>-285.10849599362098</v>
      </c>
      <c r="BF648">
        <f t="shared" si="504"/>
        <v>-85.046651151909401</v>
      </c>
      <c r="BG648">
        <f t="shared" si="505"/>
        <v>-207.51852601006348</v>
      </c>
      <c r="BH648">
        <f t="shared" si="516"/>
        <v>-27.518526010063482</v>
      </c>
      <c r="BI648">
        <f t="shared" si="517"/>
        <v>-27.518526010063482</v>
      </c>
      <c r="BJ648">
        <f t="shared" si="506"/>
        <v>0</v>
      </c>
      <c r="BK648">
        <f t="shared" si="518"/>
        <v>0</v>
      </c>
      <c r="BM648">
        <f t="shared" si="519"/>
        <v>-74.521341764475864</v>
      </c>
      <c r="BN648">
        <f t="shared" si="507"/>
        <v>-102.41003001644255</v>
      </c>
      <c r="BQ648" s="56">
        <f t="shared" si="520"/>
        <v>6.3766514128515883</v>
      </c>
    </row>
    <row r="649" spans="1:69" x14ac:dyDescent="0.2">
      <c r="A649">
        <f t="shared" si="563"/>
        <v>7300000</v>
      </c>
      <c r="B649">
        <f t="shared" si="508"/>
        <v>7300</v>
      </c>
      <c r="C649">
        <f t="shared" si="539"/>
        <v>4.6944700119697353</v>
      </c>
      <c r="D649">
        <f t="shared" si="540"/>
        <v>1.3561349478283311</v>
      </c>
      <c r="F649">
        <f t="shared" si="541"/>
        <v>2.6302029726095393E-6</v>
      </c>
      <c r="G649">
        <f t="shared" si="542"/>
        <v>9.4125223445676602E-4</v>
      </c>
      <c r="H649">
        <f t="shared" ref="H649:H676" si="564">IF(G649&gt;0,G649-Pi,G649)</f>
        <v>-3.1406513977655433</v>
      </c>
      <c r="J649">
        <f t="shared" ref="J649:J676" si="565">Vin/Vramp</f>
        <v>15</v>
      </c>
      <c r="M649">
        <f t="shared" si="543"/>
        <v>1.0928344372833206E-4</v>
      </c>
      <c r="N649">
        <f t="shared" ref="N649:N676" si="566">-Pi/2</f>
        <v>-1.5707963250000001</v>
      </c>
      <c r="O649">
        <f t="shared" si="544"/>
        <v>825.61115403219515</v>
      </c>
      <c r="P649">
        <f t="shared" ref="P649:P676" si="567">ATAN2(Fz1_u,A649)</f>
        <v>1.5695851025525558</v>
      </c>
      <c r="Q649">
        <f t="shared" si="545"/>
        <v>868.70799461511251</v>
      </c>
      <c r="R649">
        <f t="shared" ref="R649:R676" si="568">ATAN2(Fz2_u,A649)</f>
        <v>1.5696451917448559</v>
      </c>
      <c r="S649">
        <f t="shared" si="546"/>
        <v>0.48229314906434928</v>
      </c>
      <c r="T649">
        <f t="shared" ref="T649:T676" si="569">-ATAN2(Fp1_u,A649)</f>
        <v>-1.0675257744959894</v>
      </c>
      <c r="U649">
        <f t="shared" si="547"/>
        <v>2.300718024069278E-2</v>
      </c>
      <c r="V649">
        <f t="shared" ref="V649:V676" si="570">-ATAN2(Fp2_u,A649)</f>
        <v>-1.5477871163374719</v>
      </c>
      <c r="X649">
        <f t="shared" si="548"/>
        <v>-75.859093558557532</v>
      </c>
      <c r="Y649">
        <f t="shared" si="549"/>
        <v>-162.22700510366519</v>
      </c>
      <c r="Z649">
        <f t="shared" si="510"/>
        <v>17.772994896334808</v>
      </c>
      <c r="AC649">
        <v>1</v>
      </c>
      <c r="AD649">
        <f t="shared" si="550"/>
        <v>825.6105484200001</v>
      </c>
      <c r="AE649">
        <f t="shared" si="551"/>
        <v>-37.868487647909632</v>
      </c>
      <c r="AF649">
        <f t="shared" si="552"/>
        <v>0.87147780110999995</v>
      </c>
      <c r="AG649">
        <f t="shared" si="553"/>
        <v>0.4750776482309767</v>
      </c>
      <c r="AH649">
        <f t="shared" si="554"/>
        <v>-21.791113932729623</v>
      </c>
      <c r="AJ649">
        <f t="shared" ref="AJ649:AJ676" si="571">_Rfb1</f>
        <v>10500</v>
      </c>
      <c r="AK649">
        <f t="shared" si="555"/>
        <v>19071.603668502001</v>
      </c>
      <c r="AL649">
        <v>24</v>
      </c>
      <c r="AM649">
        <f t="shared" si="556"/>
        <v>868.70741904752413</v>
      </c>
      <c r="AN649">
        <f t="shared" si="557"/>
        <v>22.270931010060426</v>
      </c>
      <c r="AO649">
        <f t="shared" si="558"/>
        <v>-11.471638709710815</v>
      </c>
      <c r="AQ649">
        <f t="shared" si="559"/>
        <v>4.691311668740328E-5</v>
      </c>
      <c r="AR649">
        <f t="shared" si="560"/>
        <v>-0.6849315036360879</v>
      </c>
      <c r="AT649">
        <f t="shared" si="561"/>
        <v>-14.925398144476658</v>
      </c>
      <c r="AU649">
        <f t="shared" si="562"/>
        <v>-0.32641793701741395</v>
      </c>
      <c r="AV649">
        <f t="shared" si="511"/>
        <v>-3.1197261742241311</v>
      </c>
      <c r="AW649">
        <f t="shared" si="512"/>
        <v>14.770067024169315</v>
      </c>
      <c r="AX649">
        <f t="shared" si="513"/>
        <v>-48.762732233945968</v>
      </c>
      <c r="AY649">
        <f t="shared" si="521"/>
        <v>-1.2766842012715482</v>
      </c>
      <c r="BA649">
        <f t="shared" ref="BA649:BA676" si="572">SQRT(AT649^2+AU649^2)/SQRT(AW649^2+AX649^2)</f>
        <v>0.293008926737852</v>
      </c>
      <c r="BB649">
        <f t="shared" si="514"/>
        <v>-10.66238296671067</v>
      </c>
      <c r="BC649">
        <f t="shared" si="515"/>
        <v>-1.8430419729525829</v>
      </c>
      <c r="BD649">
        <f t="shared" ref="BD649:BD678" si="573">BC649*180/Pi-180</f>
        <v>-285.59852663631136</v>
      </c>
      <c r="BF649">
        <f t="shared" ref="BF649:BF676" si="574">20*LOG(BA649*J649*F649*C649)</f>
        <v>-85.309041117263348</v>
      </c>
      <c r="BG649">
        <f t="shared" ref="BG649:BG676" si="575">(180/Pi)*(D649+H649+BC649)</f>
        <v>-207.84378780621446</v>
      </c>
      <c r="BH649">
        <f t="shared" si="516"/>
        <v>-27.843787806214465</v>
      </c>
      <c r="BI649">
        <f t="shared" si="517"/>
        <v>-27.843787806214465</v>
      </c>
      <c r="BJ649">
        <f t="shared" ref="BJ649:BJ676" si="576">SUM((BF650&lt;0)*(BF649&gt;0))*A649</f>
        <v>0</v>
      </c>
      <c r="BK649">
        <f t="shared" si="518"/>
        <v>0</v>
      </c>
      <c r="BM649">
        <f t="shared" si="519"/>
        <v>-74.646658150552668</v>
      </c>
      <c r="BN649">
        <f t="shared" ref="BN649:BN676" si="577">(H649+D649)*180/Pi</f>
        <v>-102.24526116990316</v>
      </c>
      <c r="BQ649" s="56">
        <f t="shared" si="520"/>
        <v>6.2395778335744652</v>
      </c>
    </row>
    <row r="650" spans="1:69" x14ac:dyDescent="0.2">
      <c r="A650">
        <f t="shared" si="563"/>
        <v>7400000</v>
      </c>
      <c r="B650">
        <f t="shared" ref="B650:B676" si="578">A650/1000</f>
        <v>7400</v>
      </c>
      <c r="C650">
        <f t="shared" si="539"/>
        <v>4.7558786181673023</v>
      </c>
      <c r="D650">
        <f t="shared" si="540"/>
        <v>1.3589492006497637</v>
      </c>
      <c r="F650">
        <f t="shared" si="541"/>
        <v>2.5595965665223797E-6</v>
      </c>
      <c r="G650">
        <f t="shared" si="542"/>
        <v>9.2853255015646892E-4</v>
      </c>
      <c r="H650">
        <f t="shared" si="564"/>
        <v>-3.1406641174498438</v>
      </c>
      <c r="J650">
        <f t="shared" si="565"/>
        <v>15</v>
      </c>
      <c r="M650">
        <f t="shared" si="543"/>
        <v>1.0780664043470595E-4</v>
      </c>
      <c r="N650">
        <f t="shared" si="566"/>
        <v>-1.5707963250000001</v>
      </c>
      <c r="O650">
        <f t="shared" si="544"/>
        <v>836.92087938825239</v>
      </c>
      <c r="P650">
        <f t="shared" si="567"/>
        <v>1.5696014704320371</v>
      </c>
      <c r="Q650">
        <f t="shared" si="545"/>
        <v>880.60808846796522</v>
      </c>
      <c r="R650">
        <f t="shared" si="568"/>
        <v>1.5696607476104456</v>
      </c>
      <c r="S650">
        <f t="shared" si="546"/>
        <v>0.47726808364728568</v>
      </c>
      <c r="T650">
        <f t="shared" si="569"/>
        <v>-1.0732530874374218</v>
      </c>
      <c r="U650">
        <f t="shared" si="547"/>
        <v>2.269643365336339E-2</v>
      </c>
      <c r="V650">
        <f t="shared" si="570"/>
        <v>-1.548097944094569</v>
      </c>
      <c r="X650">
        <f t="shared" si="548"/>
        <v>-76.073477227538632</v>
      </c>
      <c r="Y650">
        <f t="shared" si="549"/>
        <v>-162.41061996122437</v>
      </c>
      <c r="Z650">
        <f t="shared" ref="Z650:Z676" si="579">Y650+180</f>
        <v>17.58938003877563</v>
      </c>
      <c r="AC650">
        <v>1</v>
      </c>
      <c r="AD650">
        <f t="shared" si="550"/>
        <v>836.92028196000012</v>
      </c>
      <c r="AE650">
        <f t="shared" si="551"/>
        <v>-38.913086575333672</v>
      </c>
      <c r="AF650">
        <f t="shared" si="552"/>
        <v>0.88341585317999993</v>
      </c>
      <c r="AG650">
        <f t="shared" si="553"/>
        <v>0.46233103764103722</v>
      </c>
      <c r="AH650">
        <f t="shared" si="554"/>
        <v>-21.496928797269483</v>
      </c>
      <c r="AJ650">
        <f t="shared" si="571"/>
        <v>10500</v>
      </c>
      <c r="AK650">
        <f t="shared" si="555"/>
        <v>19332.858513276002</v>
      </c>
      <c r="AL650">
        <v>25</v>
      </c>
      <c r="AM650">
        <f t="shared" si="556"/>
        <v>880.60752067831208</v>
      </c>
      <c r="AN650">
        <f t="shared" si="557"/>
        <v>22.274553232354481</v>
      </c>
      <c r="AO650">
        <f t="shared" si="558"/>
        <v>-11.291223315390454</v>
      </c>
      <c r="AQ650">
        <f t="shared" si="559"/>
        <v>4.5653761661551488E-5</v>
      </c>
      <c r="AR650">
        <f t="shared" si="560"/>
        <v>-0.67567567259096206</v>
      </c>
      <c r="AT650">
        <f t="shared" si="561"/>
        <v>-14.524930716584079</v>
      </c>
      <c r="AU650">
        <f t="shared" si="562"/>
        <v>-0.31336725048155106</v>
      </c>
      <c r="AV650">
        <f t="shared" ref="AV650:AV676" si="580">ATAN2(AT650,AU650)</f>
        <v>-3.1200215596848602</v>
      </c>
      <c r="AW650">
        <f t="shared" ref="AW650:AW676" si="581">AG650-AH650*AO650/_Rfb2+AG650*AN650/_Rfb2+AN650-AO650*AR650+AQ650*AN650</f>
        <v>14.992482075970651</v>
      </c>
      <c r="AX650">
        <f t="shared" ref="AX650:AX676" si="582">AH650+AH650*AN650/_Rfb2+AG650*AO650/_Rfb2+AO650+AO650*AQ650+AN650*AR650</f>
        <v>-48.081068720321632</v>
      </c>
      <c r="AY650">
        <f t="shared" si="521"/>
        <v>-1.2685340517244668</v>
      </c>
      <c r="BA650">
        <f t="shared" si="572"/>
        <v>0.28846440626942921</v>
      </c>
      <c r="BB650">
        <f t="shared" ref="BB650:BB676" si="583">20*LOG(BA650)</f>
        <v>-10.798155339207085</v>
      </c>
      <c r="BC650">
        <f t="shared" ref="BC650:BC676" si="584">AV650-AY650</f>
        <v>-1.8514875079603934</v>
      </c>
      <c r="BD650">
        <f t="shared" si="573"/>
        <v>-286.08242014854181</v>
      </c>
      <c r="BF650">
        <f t="shared" si="574"/>
        <v>-85.568284543226355</v>
      </c>
      <c r="BG650">
        <f t="shared" si="575"/>
        <v>-208.16716529333783</v>
      </c>
      <c r="BH650">
        <f t="shared" ref="BH650:BH676" si="585">IF(BG650&gt;180,BG650-180,BG650+180)</f>
        <v>-28.167165293337831</v>
      </c>
      <c r="BI650">
        <f t="shared" ref="BI650:BI676" si="586">IF(BH650&gt;180,BH650-360,BH650)</f>
        <v>-28.167165293337831</v>
      </c>
      <c r="BJ650">
        <f t="shared" si="576"/>
        <v>0</v>
      </c>
      <c r="BK650">
        <f t="shared" ref="BK650:BK676" si="587">IF(BJ650&gt;0,BI650,0)</f>
        <v>0</v>
      </c>
      <c r="BM650">
        <f t="shared" ref="BM650:BM676" si="588">20*LOG(J650*F650*C650)</f>
        <v>-74.77012920401927</v>
      </c>
      <c r="BN650">
        <f t="shared" si="577"/>
        <v>-102.08474514479603</v>
      </c>
      <c r="BQ650" s="56">
        <f t="shared" ref="BQ650:BQ676" si="589">20*LOG(BA650*7)</f>
        <v>6.1038054610780534</v>
      </c>
    </row>
    <row r="651" spans="1:69" x14ac:dyDescent="0.2">
      <c r="A651">
        <f t="shared" si="563"/>
        <v>7500000</v>
      </c>
      <c r="B651">
        <f t="shared" si="578"/>
        <v>7500</v>
      </c>
      <c r="C651">
        <f t="shared" si="539"/>
        <v>4.8173239305346236</v>
      </c>
      <c r="D651">
        <f t="shared" si="540"/>
        <v>1.361691682739131</v>
      </c>
      <c r="F651">
        <f t="shared" si="541"/>
        <v>2.4917955536003709E-6</v>
      </c>
      <c r="G651">
        <f t="shared" si="542"/>
        <v>9.1615205977050045E-4</v>
      </c>
      <c r="H651">
        <f t="shared" si="564"/>
        <v>-3.1406764979402295</v>
      </c>
      <c r="J651">
        <f t="shared" si="565"/>
        <v>15</v>
      </c>
      <c r="M651">
        <f t="shared" si="543"/>
        <v>1.0636921856224321E-4</v>
      </c>
      <c r="N651">
        <f t="shared" si="566"/>
        <v>-1.5707963250000001</v>
      </c>
      <c r="O651">
        <f t="shared" si="544"/>
        <v>848.230604962548</v>
      </c>
      <c r="P651">
        <f t="shared" si="567"/>
        <v>1.5696174018353473</v>
      </c>
      <c r="Q651">
        <f t="shared" si="545"/>
        <v>892.50818252822933</v>
      </c>
      <c r="R651">
        <f t="shared" si="568"/>
        <v>1.5696758886534807</v>
      </c>
      <c r="S651">
        <f t="shared" si="546"/>
        <v>0.47233163467935002</v>
      </c>
      <c r="T651">
        <f t="shared" si="569"/>
        <v>-1.0788621044524151</v>
      </c>
      <c r="U651">
        <f t="shared" si="547"/>
        <v>2.2393967323263379E-2</v>
      </c>
      <c r="V651">
        <f t="shared" si="570"/>
        <v>-1.5484004873248514</v>
      </c>
      <c r="X651">
        <f t="shared" si="548"/>
        <v>-76.285405935687606</v>
      </c>
      <c r="Y651">
        <f t="shared" si="549"/>
        <v>-162.59112379452398</v>
      </c>
      <c r="Z651">
        <f t="shared" si="579"/>
        <v>17.40887620547602</v>
      </c>
      <c r="AC651">
        <v>1</v>
      </c>
      <c r="AD651">
        <f t="shared" si="550"/>
        <v>848.23001550000004</v>
      </c>
      <c r="AE651">
        <f t="shared" si="551"/>
        <v>-39.971897733062796</v>
      </c>
      <c r="AF651">
        <f t="shared" si="552"/>
        <v>0.89535390525000003</v>
      </c>
      <c r="AG651">
        <f t="shared" si="553"/>
        <v>0.45009054371752255</v>
      </c>
      <c r="AH651">
        <f t="shared" si="554"/>
        <v>-21.210577261951851</v>
      </c>
      <c r="AJ651">
        <f t="shared" si="571"/>
        <v>10500</v>
      </c>
      <c r="AK651">
        <f t="shared" si="555"/>
        <v>19594.113358050003</v>
      </c>
      <c r="AL651">
        <v>26</v>
      </c>
      <c r="AM651">
        <f t="shared" si="556"/>
        <v>892.50762230910004</v>
      </c>
      <c r="AN651">
        <f t="shared" si="557"/>
        <v>22.277814796349364</v>
      </c>
      <c r="AO651">
        <f t="shared" si="558"/>
        <v>-11.115621387779116</v>
      </c>
      <c r="AQ651">
        <f t="shared" si="559"/>
        <v>4.4444444246913578E-5</v>
      </c>
      <c r="AR651">
        <f t="shared" si="560"/>
        <v>-0.66666666370370375</v>
      </c>
      <c r="AT651">
        <f t="shared" si="561"/>
        <v>-14.140364774431005</v>
      </c>
      <c r="AU651">
        <f t="shared" si="562"/>
        <v>-0.30100305346331047</v>
      </c>
      <c r="AV651">
        <f t="shared" si="580"/>
        <v>-3.1203090724127294</v>
      </c>
      <c r="AW651">
        <f t="shared" si="581"/>
        <v>15.205610383337527</v>
      </c>
      <c r="AX651">
        <f t="shared" si="582"/>
        <v>-47.417333316257043</v>
      </c>
      <c r="AY651">
        <f t="shared" ref="AY651:AY676" si="590">ATAN2(AW651,AX651)</f>
        <v>-1.2604801114144044</v>
      </c>
      <c r="BA651">
        <f t="shared" si="572"/>
        <v>0.28403178209999275</v>
      </c>
      <c r="BB651">
        <f t="shared" si="583"/>
        <v>-10.932661225933833</v>
      </c>
      <c r="BC651">
        <f t="shared" si="584"/>
        <v>-1.859828960998325</v>
      </c>
      <c r="BD651">
        <f t="shared" si="573"/>
        <v>-286.56035020316796</v>
      </c>
      <c r="BF651">
        <f t="shared" si="574"/>
        <v>-85.824470904375616</v>
      </c>
      <c r="BG651">
        <f t="shared" si="575"/>
        <v>-208.48867204852169</v>
      </c>
      <c r="BH651">
        <f t="shared" si="585"/>
        <v>-28.488672048521693</v>
      </c>
      <c r="BI651">
        <f t="shared" si="586"/>
        <v>-28.488672048521693</v>
      </c>
      <c r="BJ651">
        <f t="shared" si="576"/>
        <v>0</v>
      </c>
      <c r="BK651">
        <f t="shared" si="587"/>
        <v>0</v>
      </c>
      <c r="BM651">
        <f t="shared" si="588"/>
        <v>-74.891809678441788</v>
      </c>
      <c r="BN651">
        <f t="shared" si="577"/>
        <v>-101.92832184535374</v>
      </c>
      <c r="BQ651" s="56">
        <f t="shared" si="589"/>
        <v>5.9692995743513046</v>
      </c>
    </row>
    <row r="652" spans="1:69" x14ac:dyDescent="0.2">
      <c r="A652">
        <f t="shared" si="563"/>
        <v>7600000</v>
      </c>
      <c r="B652">
        <f t="shared" si="578"/>
        <v>7600</v>
      </c>
      <c r="C652">
        <f t="shared" si="539"/>
        <v>4.8788045622022009</v>
      </c>
      <c r="D652">
        <f t="shared" si="540"/>
        <v>1.3643650653167116</v>
      </c>
      <c r="F652">
        <f t="shared" si="541"/>
        <v>2.4266532568320814E-6</v>
      </c>
      <c r="G652">
        <f t="shared" si="542"/>
        <v>9.0409737394502802E-4</v>
      </c>
      <c r="H652">
        <f t="shared" si="564"/>
        <v>-3.1406885526260551</v>
      </c>
      <c r="J652">
        <f t="shared" si="565"/>
        <v>15</v>
      </c>
      <c r="M652">
        <f t="shared" si="543"/>
        <v>1.0496962358116105E-4</v>
      </c>
      <c r="N652">
        <f t="shared" si="566"/>
        <v>-1.5707963250000001</v>
      </c>
      <c r="O652">
        <f t="shared" si="544"/>
        <v>859.54033074646713</v>
      </c>
      <c r="P652">
        <f t="shared" si="567"/>
        <v>1.5696329139917768</v>
      </c>
      <c r="Q652">
        <f t="shared" si="545"/>
        <v>904.40827678771745</v>
      </c>
      <c r="R652">
        <f t="shared" si="568"/>
        <v>1.5696906312485088</v>
      </c>
      <c r="S652">
        <f t="shared" si="546"/>
        <v>0.46748199842843402</v>
      </c>
      <c r="T652">
        <f t="shared" si="569"/>
        <v>-1.0843561108927595</v>
      </c>
      <c r="U652">
        <f t="shared" si="547"/>
        <v>2.2099454723936658E-2</v>
      </c>
      <c r="V652">
        <f t="shared" si="570"/>
        <v>-1.5486950728318292</v>
      </c>
      <c r="X652">
        <f t="shared" si="548"/>
        <v>-76.494934355351077</v>
      </c>
      <c r="Y652">
        <f t="shared" si="549"/>
        <v>-162.76856935696495</v>
      </c>
      <c r="Z652">
        <f t="shared" si="579"/>
        <v>17.231430643035054</v>
      </c>
      <c r="AC652">
        <v>1</v>
      </c>
      <c r="AD652">
        <f t="shared" si="550"/>
        <v>859.53974904000017</v>
      </c>
      <c r="AE652">
        <f t="shared" si="551"/>
        <v>-41.044921121097012</v>
      </c>
      <c r="AF652">
        <f t="shared" si="552"/>
        <v>0.9072919573199999</v>
      </c>
      <c r="AG652">
        <f t="shared" si="553"/>
        <v>0.43832972661187153</v>
      </c>
      <c r="AH652">
        <f t="shared" si="554"/>
        <v>-20.931750690167448</v>
      </c>
      <c r="AJ652">
        <f t="shared" si="571"/>
        <v>10500</v>
      </c>
      <c r="AK652">
        <f t="shared" si="555"/>
        <v>19855.368202824004</v>
      </c>
      <c r="AL652">
        <v>27</v>
      </c>
      <c r="AM652">
        <f t="shared" si="556"/>
        <v>904.40772393988823</v>
      </c>
      <c r="AN652">
        <f t="shared" si="557"/>
        <v>22.280740246711588</v>
      </c>
      <c r="AO652">
        <f t="shared" si="558"/>
        <v>-10.94464338519591</v>
      </c>
      <c r="AQ652">
        <f t="shared" si="559"/>
        <v>4.3282548289116396E-5</v>
      </c>
      <c r="AR652">
        <f t="shared" si="560"/>
        <v>-0.65789473399456921</v>
      </c>
      <c r="AT652">
        <f t="shared" si="561"/>
        <v>-13.770869580320795</v>
      </c>
      <c r="AU652">
        <f t="shared" si="562"/>
        <v>-0.28928079840125237</v>
      </c>
      <c r="AV652">
        <f t="shared" si="580"/>
        <v>-3.1205890229562563</v>
      </c>
      <c r="AW652">
        <f t="shared" si="581"/>
        <v>15.409948973994892</v>
      </c>
      <c r="AX652">
        <f t="shared" si="582"/>
        <v>-46.770835596521323</v>
      </c>
      <c r="AY652">
        <f t="shared" si="590"/>
        <v>-1.2525198153388788</v>
      </c>
      <c r="BA652">
        <f t="shared" si="572"/>
        <v>0.27970697897704505</v>
      </c>
      <c r="BB652">
        <f t="shared" si="583"/>
        <v>-11.065933947978303</v>
      </c>
      <c r="BC652">
        <f t="shared" si="584"/>
        <v>-1.8680692076173775</v>
      </c>
      <c r="BD652">
        <f t="shared" si="573"/>
        <v>-287.03248155712612</v>
      </c>
      <c r="BF652">
        <f t="shared" si="574"/>
        <v>-86.077685848484165</v>
      </c>
      <c r="BG652">
        <f t="shared" si="575"/>
        <v>-208.80832054620757</v>
      </c>
      <c r="BH652">
        <f t="shared" si="585"/>
        <v>-28.808320546207568</v>
      </c>
      <c r="BI652">
        <f t="shared" si="586"/>
        <v>-28.808320546207568</v>
      </c>
      <c r="BJ652">
        <f t="shared" si="576"/>
        <v>0</v>
      </c>
      <c r="BK652">
        <f t="shared" si="587"/>
        <v>0</v>
      </c>
      <c r="BM652">
        <f t="shared" si="588"/>
        <v>-75.011751900505871</v>
      </c>
      <c r="BN652">
        <f t="shared" si="577"/>
        <v>-101.77583898908148</v>
      </c>
      <c r="BQ652" s="56">
        <f t="shared" si="589"/>
        <v>5.8360268523068326</v>
      </c>
    </row>
    <row r="653" spans="1:69" x14ac:dyDescent="0.2">
      <c r="A653">
        <f t="shared" si="563"/>
        <v>7700000</v>
      </c>
      <c r="B653">
        <f t="shared" si="578"/>
        <v>7700</v>
      </c>
      <c r="C653">
        <f t="shared" si="539"/>
        <v>4.9403191945593248</v>
      </c>
      <c r="D653">
        <f t="shared" si="540"/>
        <v>1.3669718906259558</v>
      </c>
      <c r="F653">
        <f t="shared" si="541"/>
        <v>2.3640324614637879E-6</v>
      </c>
      <c r="G653">
        <f t="shared" si="542"/>
        <v>8.92355798884731E-4</v>
      </c>
      <c r="H653">
        <f t="shared" si="564"/>
        <v>-3.1407002942011153</v>
      </c>
      <c r="J653">
        <f t="shared" si="565"/>
        <v>15</v>
      </c>
      <c r="M653">
        <f t="shared" si="543"/>
        <v>1.0360638171647064E-4</v>
      </c>
      <c r="N653">
        <f t="shared" si="566"/>
        <v>-1.5707963250000001</v>
      </c>
      <c r="O653">
        <f t="shared" si="544"/>
        <v>870.85005673184276</v>
      </c>
      <c r="P653">
        <f t="shared" si="567"/>
        <v>1.5696480232355907</v>
      </c>
      <c r="Q653">
        <f t="shared" si="545"/>
        <v>916.30837123866786</v>
      </c>
      <c r="R653">
        <f t="shared" si="568"/>
        <v>1.5697049909194527</v>
      </c>
      <c r="S653">
        <f t="shared" si="546"/>
        <v>0.46271739322857547</v>
      </c>
      <c r="T653">
        <f t="shared" si="569"/>
        <v>-1.0897382865432317</v>
      </c>
      <c r="U653">
        <f t="shared" si="547"/>
        <v>2.1812586270610754E-2</v>
      </c>
      <c r="V653">
        <f t="shared" si="570"/>
        <v>-1.5489820104560339</v>
      </c>
      <c r="X653">
        <f t="shared" si="548"/>
        <v>-76.702115266608374</v>
      </c>
      <c r="Y653">
        <f t="shared" si="549"/>
        <v>-162.94300983149063</v>
      </c>
      <c r="Z653">
        <f t="shared" si="579"/>
        <v>17.056990168509373</v>
      </c>
      <c r="AC653">
        <v>1</v>
      </c>
      <c r="AD653">
        <f t="shared" si="550"/>
        <v>870.84948257999997</v>
      </c>
      <c r="AE653">
        <f t="shared" si="551"/>
        <v>-42.132156739436326</v>
      </c>
      <c r="AF653">
        <f t="shared" si="552"/>
        <v>0.91923000938999999</v>
      </c>
      <c r="AG653">
        <f t="shared" si="553"/>
        <v>0.42702385046913854</v>
      </c>
      <c r="AH653">
        <f t="shared" si="554"/>
        <v>-20.66015644120024</v>
      </c>
      <c r="AJ653">
        <f t="shared" si="571"/>
        <v>10500</v>
      </c>
      <c r="AK653">
        <f t="shared" si="555"/>
        <v>20116.623047598005</v>
      </c>
      <c r="AL653">
        <v>28</v>
      </c>
      <c r="AM653">
        <f t="shared" si="556"/>
        <v>916.30782557067619</v>
      </c>
      <c r="AN653">
        <f t="shared" si="557"/>
        <v>22.283352324932963</v>
      </c>
      <c r="AO653">
        <f t="shared" si="558"/>
        <v>-10.778109560235464</v>
      </c>
      <c r="AQ653">
        <f t="shared" si="559"/>
        <v>4.2165626403416991E-5</v>
      </c>
      <c r="AR653">
        <f t="shared" si="560"/>
        <v>-0.64935064661262165</v>
      </c>
      <c r="AT653">
        <f t="shared" si="561"/>
        <v>-13.415667938483152</v>
      </c>
      <c r="AU653">
        <f t="shared" si="562"/>
        <v>-0.27815936185908235</v>
      </c>
      <c r="AV653">
        <f t="shared" si="580"/>
        <v>-3.1208617057453925</v>
      </c>
      <c r="AW653">
        <f t="shared" si="581"/>
        <v>15.605962401338818</v>
      </c>
      <c r="AX653">
        <f t="shared" si="582"/>
        <v>-46.140919735525188</v>
      </c>
      <c r="AY653">
        <f t="shared" si="590"/>
        <v>-1.244650727743227</v>
      </c>
      <c r="BA653">
        <f t="shared" si="572"/>
        <v>0.27548612182381432</v>
      </c>
      <c r="BB653">
        <f t="shared" si="583"/>
        <v>-11.198005494657746</v>
      </c>
      <c r="BC653">
        <f t="shared" si="584"/>
        <v>-1.8762109780021654</v>
      </c>
      <c r="BD653">
        <f t="shared" si="573"/>
        <v>-287.49897063847209</v>
      </c>
      <c r="BF653">
        <f t="shared" si="574"/>
        <v>-86.328011406282997</v>
      </c>
      <c r="BG653">
        <f t="shared" si="575"/>
        <v>-209.12612228193188</v>
      </c>
      <c r="BH653">
        <f t="shared" si="585"/>
        <v>-29.126122281931885</v>
      </c>
      <c r="BI653">
        <f t="shared" si="586"/>
        <v>-29.126122281931885</v>
      </c>
      <c r="BJ653">
        <f t="shared" si="576"/>
        <v>0</v>
      </c>
      <c r="BK653">
        <f t="shared" si="587"/>
        <v>0</v>
      </c>
      <c r="BM653">
        <f t="shared" si="588"/>
        <v>-75.130005911625247</v>
      </c>
      <c r="BN653">
        <f t="shared" si="577"/>
        <v>-101.62715164345978</v>
      </c>
      <c r="BQ653" s="56">
        <f t="shared" si="589"/>
        <v>5.7039553056273906</v>
      </c>
    </row>
    <row r="654" spans="1:69" x14ac:dyDescent="0.2">
      <c r="A654">
        <f t="shared" si="563"/>
        <v>7800000</v>
      </c>
      <c r="B654">
        <f t="shared" si="578"/>
        <v>7800</v>
      </c>
      <c r="C654">
        <f t="shared" si="539"/>
        <v>5.0018665731505072</v>
      </c>
      <c r="D654">
        <f t="shared" si="540"/>
        <v>1.369514579505303</v>
      </c>
      <c r="F654">
        <f t="shared" si="541"/>
        <v>2.3038046918373912E-6</v>
      </c>
      <c r="G654">
        <f t="shared" si="542"/>
        <v>8.8091529176513984E-4</v>
      </c>
      <c r="H654">
        <f t="shared" si="564"/>
        <v>-3.1407117347082352</v>
      </c>
      <c r="J654">
        <f t="shared" si="565"/>
        <v>15</v>
      </c>
      <c r="M654">
        <f t="shared" si="543"/>
        <v>1.0227809477138769E-4</v>
      </c>
      <c r="N654">
        <f t="shared" si="566"/>
        <v>-1.5707963250000001</v>
      </c>
      <c r="O654">
        <f t="shared" si="544"/>
        <v>882.15978291092631</v>
      </c>
      <c r="P654">
        <f t="shared" si="567"/>
        <v>1.5696627450634011</v>
      </c>
      <c r="Q654">
        <f t="shared" si="545"/>
        <v>928.20846587371659</v>
      </c>
      <c r="R654">
        <f t="shared" si="568"/>
        <v>1.5697189823941387</v>
      </c>
      <c r="S654">
        <f t="shared" si="546"/>
        <v>0.45803606124406615</v>
      </c>
      <c r="T654">
        <f t="shared" si="569"/>
        <v>-1.0950117089809339</v>
      </c>
      <c r="U654">
        <f t="shared" si="547"/>
        <v>2.1533068235754144E-2</v>
      </c>
      <c r="V654">
        <f t="shared" si="570"/>
        <v>-1.5492615941613472</v>
      </c>
      <c r="X654">
        <f t="shared" si="548"/>
        <v>-76.90699965311714</v>
      </c>
      <c r="Y654">
        <f t="shared" si="549"/>
        <v>-163.11449864761465</v>
      </c>
      <c r="Z654">
        <f t="shared" si="579"/>
        <v>16.885501352385347</v>
      </c>
      <c r="AC654">
        <v>1</v>
      </c>
      <c r="AD654">
        <f t="shared" si="550"/>
        <v>882.15921612000011</v>
      </c>
      <c r="AE654">
        <f t="shared" si="551"/>
        <v>-43.233604588080723</v>
      </c>
      <c r="AF654">
        <f t="shared" si="552"/>
        <v>0.93116806146000008</v>
      </c>
      <c r="AG654">
        <f t="shared" si="553"/>
        <v>0.41614975334401294</v>
      </c>
      <c r="AH654">
        <f t="shared" si="554"/>
        <v>-20.395516847651457</v>
      </c>
      <c r="AJ654">
        <f t="shared" si="571"/>
        <v>10500</v>
      </c>
      <c r="AK654">
        <f t="shared" si="555"/>
        <v>20377.877892372002</v>
      </c>
      <c r="AL654">
        <v>29</v>
      </c>
      <c r="AM654">
        <f t="shared" si="556"/>
        <v>928.20792720146403</v>
      </c>
      <c r="AN654">
        <f t="shared" si="557"/>
        <v>22.285672118220322</v>
      </c>
      <c r="AO654">
        <f t="shared" si="558"/>
        <v>-10.61584933699117</v>
      </c>
      <c r="AQ654">
        <f t="shared" si="559"/>
        <v>4.109138707638319E-5</v>
      </c>
      <c r="AR654">
        <f t="shared" si="560"/>
        <v>-0.64102563839157778</v>
      </c>
      <c r="AT654">
        <f t="shared" si="561"/>
        <v>-13.074032107421358</v>
      </c>
      <c r="AU654">
        <f t="shared" si="562"/>
        <v>-0.26760074138125328</v>
      </c>
      <c r="AV654">
        <f t="shared" si="580"/>
        <v>-3.1211274001237244</v>
      </c>
      <c r="AW654">
        <f t="shared" si="581"/>
        <v>15.794085243905215</v>
      </c>
      <c r="AX654">
        <f t="shared" si="582"/>
        <v>-45.526962393300209</v>
      </c>
      <c r="AY654">
        <f t="shared" si="590"/>
        <v>-1.2368705336830383</v>
      </c>
      <c r="BA654">
        <f t="shared" si="572"/>
        <v>0.27136552356977922</v>
      </c>
      <c r="BB654">
        <f t="shared" si="583"/>
        <v>-11.328906587799759</v>
      </c>
      <c r="BC654">
        <f t="shared" si="584"/>
        <v>-1.884256866440686</v>
      </c>
      <c r="BD654">
        <f t="shared" si="573"/>
        <v>-287.95996608895922</v>
      </c>
      <c r="BF654">
        <f t="shared" si="574"/>
        <v>-86.575526187209263</v>
      </c>
      <c r="BG654">
        <f t="shared" si="575"/>
        <v>-209.44208788362528</v>
      </c>
      <c r="BH654">
        <f t="shared" si="585"/>
        <v>-29.442087883625277</v>
      </c>
      <c r="BI654">
        <f t="shared" si="586"/>
        <v>-29.442087883625277</v>
      </c>
      <c r="BJ654">
        <f t="shared" si="576"/>
        <v>0</v>
      </c>
      <c r="BK654">
        <f t="shared" si="587"/>
        <v>0</v>
      </c>
      <c r="BM654">
        <f t="shared" si="588"/>
        <v>-75.246619599409485</v>
      </c>
      <c r="BN654">
        <f t="shared" si="577"/>
        <v>-101.48212179466609</v>
      </c>
      <c r="BQ654" s="56">
        <f t="shared" si="589"/>
        <v>5.5730542124853786</v>
      </c>
    </row>
    <row r="655" spans="1:69" x14ac:dyDescent="0.2">
      <c r="A655">
        <f t="shared" si="563"/>
        <v>7900000</v>
      </c>
      <c r="B655">
        <f t="shared" si="578"/>
        <v>7900</v>
      </c>
      <c r="C655">
        <f t="shared" si="539"/>
        <v>5.0634455038612138</v>
      </c>
      <c r="D655">
        <f t="shared" si="540"/>
        <v>1.3719954384414885</v>
      </c>
      <c r="F655">
        <f t="shared" si="541"/>
        <v>2.2458495518962871E-6</v>
      </c>
      <c r="G655">
        <f t="shared" si="542"/>
        <v>8.6976441953142834E-4</v>
      </c>
      <c r="H655">
        <f t="shared" si="564"/>
        <v>-3.1407228855804687</v>
      </c>
      <c r="J655">
        <f t="shared" si="565"/>
        <v>15</v>
      </c>
      <c r="M655">
        <f t="shared" si="543"/>
        <v>1.0098343534390179E-4</v>
      </c>
      <c r="N655">
        <f t="shared" si="566"/>
        <v>-1.5707963250000001</v>
      </c>
      <c r="O655">
        <f t="shared" si="544"/>
        <v>893.46950927636215</v>
      </c>
      <c r="P655">
        <f t="shared" si="567"/>
        <v>1.5696770941871827</v>
      </c>
      <c r="Q655">
        <f t="shared" si="545"/>
        <v>940.10856068587225</v>
      </c>
      <c r="R655">
        <f t="shared" si="568"/>
        <v>1.5697326196546817</v>
      </c>
      <c r="S655">
        <f t="shared" si="546"/>
        <v>0.45343626996867398</v>
      </c>
      <c r="T655">
        <f t="shared" si="569"/>
        <v>-1.100179356869212</v>
      </c>
      <c r="U655">
        <f t="shared" si="547"/>
        <v>2.1260621746860567E-2</v>
      </c>
      <c r="V655">
        <f t="shared" si="570"/>
        <v>-1.5495341030389116</v>
      </c>
      <c r="X655">
        <f t="shared" si="548"/>
        <v>-77.109636791246444</v>
      </c>
      <c r="Y655">
        <f t="shared" si="549"/>
        <v>-163.28308931998009</v>
      </c>
      <c r="Z655">
        <f t="shared" si="579"/>
        <v>16.716910680019907</v>
      </c>
      <c r="AC655">
        <v>1</v>
      </c>
      <c r="AD655">
        <f t="shared" si="550"/>
        <v>893.46894966000013</v>
      </c>
      <c r="AE655">
        <f t="shared" si="551"/>
        <v>-44.349264667030219</v>
      </c>
      <c r="AF655">
        <f t="shared" si="552"/>
        <v>0.94310611352999996</v>
      </c>
      <c r="AG655">
        <f t="shared" si="553"/>
        <v>0.40568572855522972</v>
      </c>
      <c r="AH655">
        <f t="shared" si="554"/>
        <v>-20.137568270284291</v>
      </c>
      <c r="AJ655">
        <f t="shared" si="571"/>
        <v>10500</v>
      </c>
      <c r="AK655">
        <f t="shared" si="555"/>
        <v>20639.132737146003</v>
      </c>
      <c r="AL655">
        <v>30</v>
      </c>
      <c r="AM655">
        <f t="shared" si="556"/>
        <v>940.10802883225199</v>
      </c>
      <c r="AN655">
        <f t="shared" si="557"/>
        <v>22.287719194595624</v>
      </c>
      <c r="AO655">
        <f t="shared" si="558"/>
        <v>-10.457700735067746</v>
      </c>
      <c r="AQ655">
        <f t="shared" si="559"/>
        <v>4.0057682903149807E-5</v>
      </c>
      <c r="AR655">
        <f t="shared" si="560"/>
        <v>-0.63291138986976692</v>
      </c>
      <c r="AT655">
        <f t="shared" si="561"/>
        <v>-12.745280071712676</v>
      </c>
      <c r="AU655">
        <f t="shared" si="562"/>
        <v>-0.25756978263443098</v>
      </c>
      <c r="AV655">
        <f t="shared" si="580"/>
        <v>-3.121386371302366</v>
      </c>
      <c r="AW655">
        <f t="shared" si="581"/>
        <v>15.974724384013506</v>
      </c>
      <c r="AX655">
        <f t="shared" si="582"/>
        <v>-44.928370752496484</v>
      </c>
      <c r="AY655">
        <f t="shared" si="590"/>
        <v>-1.2291770312177142</v>
      </c>
      <c r="BA655">
        <f t="shared" si="572"/>
        <v>0.26734167384944407</v>
      </c>
      <c r="BB655">
        <f t="shared" si="583"/>
        <v>-11.458666742404297</v>
      </c>
      <c r="BC655">
        <f t="shared" si="584"/>
        <v>-1.8922093400846518</v>
      </c>
      <c r="BD655">
        <f t="shared" si="573"/>
        <v>-288.4156092659681</v>
      </c>
      <c r="BF655">
        <f t="shared" si="574"/>
        <v>-86.820305562248436</v>
      </c>
      <c r="BG655">
        <f t="shared" si="575"/>
        <v>-209.75622721177862</v>
      </c>
      <c r="BH655">
        <f t="shared" si="585"/>
        <v>-29.756227211778622</v>
      </c>
      <c r="BI655">
        <f t="shared" si="586"/>
        <v>-29.756227211778622</v>
      </c>
      <c r="BJ655">
        <f t="shared" si="576"/>
        <v>0</v>
      </c>
      <c r="BK655">
        <f t="shared" si="587"/>
        <v>0</v>
      </c>
      <c r="BM655">
        <f t="shared" si="588"/>
        <v>-75.361638819844131</v>
      </c>
      <c r="BN655">
        <f t="shared" si="577"/>
        <v>-101.34061794581052</v>
      </c>
      <c r="BQ655" s="56">
        <f t="shared" si="589"/>
        <v>5.4432940578808386</v>
      </c>
    </row>
    <row r="656" spans="1:69" x14ac:dyDescent="0.2">
      <c r="A656">
        <f t="shared" si="563"/>
        <v>8000000</v>
      </c>
      <c r="B656">
        <f t="shared" si="578"/>
        <v>8000</v>
      </c>
      <c r="C656">
        <f t="shared" si="539"/>
        <v>5.125054849369624</v>
      </c>
      <c r="D656">
        <f t="shared" si="540"/>
        <v>1.3744166661445592</v>
      </c>
      <c r="F656">
        <f t="shared" si="541"/>
        <v>2.1900541230326744E-6</v>
      </c>
      <c r="G656">
        <f t="shared" si="542"/>
        <v>8.5889232078734091E-4</v>
      </c>
      <c r="H656">
        <f t="shared" si="564"/>
        <v>-3.1407337576792127</v>
      </c>
      <c r="J656">
        <f t="shared" si="565"/>
        <v>15</v>
      </c>
      <c r="M656">
        <f t="shared" si="543"/>
        <v>9.9721142402103011E-5</v>
      </c>
      <c r="N656">
        <f t="shared" si="566"/>
        <v>-1.5707963250000001</v>
      </c>
      <c r="O656">
        <f t="shared" si="544"/>
        <v>904.77923582116205</v>
      </c>
      <c r="P656">
        <f t="shared" si="567"/>
        <v>1.5696910845833136</v>
      </c>
      <c r="Q656">
        <f t="shared" si="545"/>
        <v>952.0086556684937</v>
      </c>
      <c r="R656">
        <f t="shared" si="568"/>
        <v>1.5697459159840919</v>
      </c>
      <c r="S656">
        <f t="shared" si="546"/>
        <v>0.44891631348623862</v>
      </c>
      <c r="T656">
        <f t="shared" si="569"/>
        <v>-1.1052441131812663</v>
      </c>
      <c r="U656">
        <f t="shared" si="547"/>
        <v>2.0994981859278793E-2</v>
      </c>
      <c r="V656">
        <f t="shared" si="570"/>
        <v>-1.5497998022358315</v>
      </c>
      <c r="X656">
        <f t="shared" si="548"/>
        <v>-77.310074333093922</v>
      </c>
      <c r="Y656">
        <f t="shared" si="549"/>
        <v>-163.44883530625211</v>
      </c>
      <c r="Z656">
        <f t="shared" si="579"/>
        <v>16.551164693747893</v>
      </c>
      <c r="AC656">
        <v>1</v>
      </c>
      <c r="AD656">
        <f t="shared" si="550"/>
        <v>904.77868320000005</v>
      </c>
      <c r="AE656">
        <f t="shared" si="551"/>
        <v>-45.479136976284792</v>
      </c>
      <c r="AF656">
        <f t="shared" si="552"/>
        <v>0.95504416560000005</v>
      </c>
      <c r="AG656">
        <f t="shared" si="553"/>
        <v>0.39561141634334696</v>
      </c>
      <c r="AH656">
        <f t="shared" si="554"/>
        <v>-19.886060223538951</v>
      </c>
      <c r="AJ656">
        <f t="shared" si="571"/>
        <v>10500</v>
      </c>
      <c r="AK656">
        <f t="shared" si="555"/>
        <v>20900.38758192</v>
      </c>
      <c r="AL656">
        <v>31</v>
      </c>
      <c r="AM656">
        <f t="shared" si="556"/>
        <v>952.00813046304017</v>
      </c>
      <c r="AN656">
        <f t="shared" si="557"/>
        <v>22.289511725625424</v>
      </c>
      <c r="AO656">
        <f t="shared" si="558"/>
        <v>-10.303509836344226</v>
      </c>
      <c r="AQ656">
        <f t="shared" si="559"/>
        <v>3.9062499847412111E-5</v>
      </c>
      <c r="AR656">
        <f t="shared" si="560"/>
        <v>-0.62499999755859381</v>
      </c>
      <c r="AT656">
        <f t="shared" si="561"/>
        <v>-12.428772137591004</v>
      </c>
      <c r="AU656">
        <f t="shared" si="562"/>
        <v>-0.2480339334731913</v>
      </c>
      <c r="AV656">
        <f t="shared" si="580"/>
        <v>-3.1216388712423924</v>
      </c>
      <c r="AW656">
        <f t="shared" si="581"/>
        <v>16.148261087549066</v>
      </c>
      <c r="AX656">
        <f t="shared" si="582"/>
        <v>-44.344580694157088</v>
      </c>
      <c r="AY656">
        <f t="shared" si="590"/>
        <v>-1.2215681241818541</v>
      </c>
      <c r="BA656">
        <f t="shared" si="572"/>
        <v>0.26341122849874754</v>
      </c>
      <c r="BB656">
        <f t="shared" si="583"/>
        <v>-11.587314323922872</v>
      </c>
      <c r="BC656">
        <f t="shared" si="584"/>
        <v>-1.9000707470605382</v>
      </c>
      <c r="BD656">
        <f t="shared" si="573"/>
        <v>-288.86603470723577</v>
      </c>
      <c r="BF656">
        <f t="shared" si="574"/>
        <v>-87.062421834876673</v>
      </c>
      <c r="BG656">
        <f t="shared" si="575"/>
        <v>-210.06854944963487</v>
      </c>
      <c r="BH656">
        <f t="shared" si="585"/>
        <v>-30.068549449634872</v>
      </c>
      <c r="BI656">
        <f t="shared" si="586"/>
        <v>-30.068549449634872</v>
      </c>
      <c r="BJ656">
        <f t="shared" si="576"/>
        <v>0</v>
      </c>
      <c r="BK656">
        <f t="shared" si="587"/>
        <v>0</v>
      </c>
      <c r="BM656">
        <f t="shared" si="588"/>
        <v>-75.475107510953791</v>
      </c>
      <c r="BN656">
        <f t="shared" si="577"/>
        <v>-101.20251474239909</v>
      </c>
      <c r="BQ656" s="56">
        <f t="shared" si="589"/>
        <v>5.3146464763622632</v>
      </c>
    </row>
    <row r="657" spans="1:69" x14ac:dyDescent="0.2">
      <c r="A657">
        <f t="shared" si="563"/>
        <v>8100000</v>
      </c>
      <c r="B657">
        <f t="shared" si="578"/>
        <v>8100</v>
      </c>
      <c r="C657">
        <f t="shared" si="539"/>
        <v>5.1866935258432898</v>
      </c>
      <c r="D657">
        <f t="shared" si="540"/>
        <v>1.3767803596813646</v>
      </c>
      <c r="F657">
        <f t="shared" si="541"/>
        <v>2.136312413648337E-6</v>
      </c>
      <c r="G657">
        <f t="shared" si="542"/>
        <v>8.4828867050720292E-4</v>
      </c>
      <c r="H657">
        <f t="shared" si="564"/>
        <v>-3.1407443613294932</v>
      </c>
      <c r="J657">
        <f t="shared" si="565"/>
        <v>15</v>
      </c>
      <c r="M657">
        <f t="shared" si="543"/>
        <v>9.8490017187262221E-5</v>
      </c>
      <c r="N657">
        <f t="shared" si="566"/>
        <v>-1.5707963250000001</v>
      </c>
      <c r="O657">
        <f t="shared" si="544"/>
        <v>916.08896253868261</v>
      </c>
      <c r="P657">
        <f t="shared" si="567"/>
        <v>1.5697047295379816</v>
      </c>
      <c r="Q657">
        <f t="shared" si="545"/>
        <v>963.90875081526724</v>
      </c>
      <c r="R657">
        <f t="shared" si="568"/>
        <v>1.5697588840094301</v>
      </c>
      <c r="S657">
        <f t="shared" si="546"/>
        <v>0.44447451351661643</v>
      </c>
      <c r="T657">
        <f t="shared" si="569"/>
        <v>-1.1102087683495854</v>
      </c>
      <c r="U657">
        <f t="shared" si="547"/>
        <v>2.073589669761421E-2</v>
      </c>
      <c r="V657">
        <f t="shared" si="570"/>
        <v>-1.5500589438151515</v>
      </c>
      <c r="X657">
        <f t="shared" si="548"/>
        <v>-77.508358383922086</v>
      </c>
      <c r="Y657">
        <f t="shared" si="549"/>
        <v>-163.61178988236483</v>
      </c>
      <c r="Z657">
        <f t="shared" si="579"/>
        <v>16.388210117635168</v>
      </c>
      <c r="AC657">
        <v>1</v>
      </c>
      <c r="AD657">
        <f t="shared" si="550"/>
        <v>916.08841674000018</v>
      </c>
      <c r="AE657">
        <f t="shared" si="551"/>
        <v>-46.623221515844449</v>
      </c>
      <c r="AF657">
        <f t="shared" si="552"/>
        <v>0.96698221766999992</v>
      </c>
      <c r="AG657">
        <f t="shared" si="553"/>
        <v>0.38590770482198722</v>
      </c>
      <c r="AH657">
        <f t="shared" si="554"/>
        <v>-19.640754565631603</v>
      </c>
      <c r="AJ657">
        <f t="shared" si="571"/>
        <v>10500</v>
      </c>
      <c r="AK657">
        <f t="shared" si="555"/>
        <v>21161.642426694001</v>
      </c>
      <c r="AL657">
        <v>32</v>
      </c>
      <c r="AM657">
        <f t="shared" si="556"/>
        <v>963.90823209382813</v>
      </c>
      <c r="AN657">
        <f t="shared" si="557"/>
        <v>22.291066598038327</v>
      </c>
      <c r="AO657">
        <f t="shared" si="558"/>
        <v>-10.153130290840927</v>
      </c>
      <c r="AQ657">
        <f t="shared" si="559"/>
        <v>3.8103947423777063E-5</v>
      </c>
      <c r="AR657">
        <f t="shared" si="560"/>
        <v>-0.6172839482651884</v>
      </c>
      <c r="AT657">
        <f t="shared" si="561"/>
        <v>-12.123907820573706</v>
      </c>
      <c r="AU657">
        <f t="shared" si="562"/>
        <v>-0.23896302197780528</v>
      </c>
      <c r="AV657">
        <f t="shared" si="580"/>
        <v>-3.12188513947198</v>
      </c>
      <c r="AW657">
        <f t="shared" si="581"/>
        <v>16.315052904425613</v>
      </c>
      <c r="AX657">
        <f t="shared" si="582"/>
        <v>-43.775055101127435</v>
      </c>
      <c r="AY657">
        <f t="shared" si="590"/>
        <v>-1.2140418154862229</v>
      </c>
      <c r="BA657">
        <f t="shared" si="572"/>
        <v>0.25957099978491355</v>
      </c>
      <c r="BB657">
        <f t="shared" si="583"/>
        <v>-11.714876602373195</v>
      </c>
      <c r="BC657">
        <f t="shared" si="584"/>
        <v>-1.9078433239857571</v>
      </c>
      <c r="BD657">
        <f t="shared" si="573"/>
        <v>-289.31137056150044</v>
      </c>
      <c r="BF657">
        <f t="shared" si="574"/>
        <v>-87.301944401019711</v>
      </c>
      <c r="BG657">
        <f t="shared" si="575"/>
        <v>-210.37906318443268</v>
      </c>
      <c r="BH657">
        <f t="shared" si="585"/>
        <v>-30.379063184432681</v>
      </c>
      <c r="BI657">
        <f t="shared" si="586"/>
        <v>-30.379063184432681</v>
      </c>
      <c r="BJ657">
        <f t="shared" si="576"/>
        <v>0</v>
      </c>
      <c r="BK657">
        <f t="shared" si="587"/>
        <v>0</v>
      </c>
      <c r="BM657">
        <f t="shared" si="588"/>
        <v>-75.587067798646515</v>
      </c>
      <c r="BN657">
        <f t="shared" si="577"/>
        <v>-101.06769262293224</v>
      </c>
      <c r="BQ657" s="56">
        <f t="shared" si="589"/>
        <v>5.1870841979119415</v>
      </c>
    </row>
    <row r="658" spans="1:69" x14ac:dyDescent="0.2">
      <c r="A658">
        <f t="shared" si="563"/>
        <v>8200000</v>
      </c>
      <c r="B658">
        <f t="shared" si="578"/>
        <v>8200</v>
      </c>
      <c r="C658">
        <f t="shared" si="539"/>
        <v>5.2483604998613718</v>
      </c>
      <c r="D658">
        <f t="shared" si="540"/>
        <v>1.3790885202011556</v>
      </c>
      <c r="F658">
        <f t="shared" si="541"/>
        <v>2.0845248554148045E-6</v>
      </c>
      <c r="G658">
        <f t="shared" si="542"/>
        <v>8.3794364733001474E-4</v>
      </c>
      <c r="H658">
        <f t="shared" si="564"/>
        <v>-3.1407547063526704</v>
      </c>
      <c r="J658">
        <f t="shared" si="565"/>
        <v>15</v>
      </c>
      <c r="M658">
        <f t="shared" si="543"/>
        <v>9.7288919416685859E-5</v>
      </c>
      <c r="N658">
        <f t="shared" si="566"/>
        <v>-1.5707963250000001</v>
      </c>
      <c r="O658">
        <f t="shared" si="544"/>
        <v>927.398689422605</v>
      </c>
      <c r="P658">
        <f t="shared" si="567"/>
        <v>1.5697180416892689</v>
      </c>
      <c r="Q658">
        <f t="shared" si="545"/>
        <v>975.80884612018735</v>
      </c>
      <c r="R658">
        <f t="shared" si="568"/>
        <v>1.5697715357418038</v>
      </c>
      <c r="S658">
        <f t="shared" si="546"/>
        <v>0.4401092202688312</v>
      </c>
      <c r="T658">
        <f t="shared" si="569"/>
        <v>-1.1150760233382229</v>
      </c>
      <c r="U658">
        <f t="shared" si="547"/>
        <v>2.0483126659858682E-2</v>
      </c>
      <c r="V658">
        <f t="shared" si="570"/>
        <v>-1.5503117675529745</v>
      </c>
      <c r="X658">
        <f t="shared" si="548"/>
        <v>-77.704533574492828</v>
      </c>
      <c r="Y658">
        <f t="shared" si="549"/>
        <v>-163.77200603333949</v>
      </c>
      <c r="Z658">
        <f t="shared" si="579"/>
        <v>16.227993966660506</v>
      </c>
      <c r="AC658">
        <v>1</v>
      </c>
      <c r="AD658">
        <f t="shared" si="550"/>
        <v>927.39815027999998</v>
      </c>
      <c r="AE658">
        <f t="shared" si="551"/>
        <v>-47.781518285709204</v>
      </c>
      <c r="AF658">
        <f t="shared" si="552"/>
        <v>0.97892026974000002</v>
      </c>
      <c r="AG658">
        <f t="shared" si="553"/>
        <v>0.37655663932264671</v>
      </c>
      <c r="AH658">
        <f t="shared" si="554"/>
        <v>-19.401424747742343</v>
      </c>
      <c r="AJ658">
        <f t="shared" si="571"/>
        <v>10500</v>
      </c>
      <c r="AK658">
        <f t="shared" si="555"/>
        <v>21422.897271468002</v>
      </c>
      <c r="AL658">
        <v>33</v>
      </c>
      <c r="AM658">
        <f t="shared" si="556"/>
        <v>975.80833372461609</v>
      </c>
      <c r="AN658">
        <f t="shared" si="557"/>
        <v>22.292399515347832</v>
      </c>
      <c r="AO658">
        <f t="shared" si="558"/>
        <v>-10.006422858394165</v>
      </c>
      <c r="AQ658">
        <f t="shared" si="559"/>
        <v>3.7180249713041904E-5</v>
      </c>
      <c r="AR658">
        <f t="shared" si="560"/>
        <v>-0.60975609529388719</v>
      </c>
      <c r="AT658">
        <f t="shared" si="561"/>
        <v>-11.830122996851681</v>
      </c>
      <c r="AU658">
        <f t="shared" si="562"/>
        <v>-0.23032905586727553</v>
      </c>
      <c r="AV658">
        <f t="shared" si="580"/>
        <v>-3.1221254038438184</v>
      </c>
      <c r="AW658">
        <f t="shared" si="581"/>
        <v>16.475435407138598</v>
      </c>
      <c r="AX658">
        <f t="shared" si="582"/>
        <v>-43.219282278950367</v>
      </c>
      <c r="AY658">
        <f t="shared" si="590"/>
        <v>-1.2065962009045732</v>
      </c>
      <c r="BA658">
        <f t="shared" si="572"/>
        <v>0.25581794731133456</v>
      </c>
      <c r="BB658">
        <f t="shared" si="583"/>
        <v>-11.8413798034916</v>
      </c>
      <c r="BC658">
        <f t="shared" si="584"/>
        <v>-1.9155292029392452</v>
      </c>
      <c r="BD658">
        <f t="shared" si="573"/>
        <v>-289.75173898788694</v>
      </c>
      <c r="BF658">
        <f t="shared" si="574"/>
        <v>-87.538939898863674</v>
      </c>
      <c r="BG658">
        <f t="shared" si="575"/>
        <v>-210.687776480613</v>
      </c>
      <c r="BH658">
        <f t="shared" si="585"/>
        <v>-30.687776480612996</v>
      </c>
      <c r="BI658">
        <f t="shared" si="586"/>
        <v>-30.687776480612996</v>
      </c>
      <c r="BJ658">
        <f t="shared" si="576"/>
        <v>0</v>
      </c>
      <c r="BK658">
        <f t="shared" si="587"/>
        <v>0</v>
      </c>
      <c r="BM658">
        <f t="shared" si="588"/>
        <v>-75.697560095372069</v>
      </c>
      <c r="BN658">
        <f t="shared" si="577"/>
        <v>-100.93603749272607</v>
      </c>
      <c r="BQ658" s="56">
        <f t="shared" si="589"/>
        <v>5.0605809967935347</v>
      </c>
    </row>
    <row r="659" spans="1:69" x14ac:dyDescent="0.2">
      <c r="A659">
        <f t="shared" si="563"/>
        <v>8300000</v>
      </c>
      <c r="B659">
        <f t="shared" si="578"/>
        <v>8300</v>
      </c>
      <c r="C659">
        <f t="shared" si="539"/>
        <v>5.3100547855449056</v>
      </c>
      <c r="D659">
        <f t="shared" si="540"/>
        <v>1.3813430582840818</v>
      </c>
      <c r="F659">
        <f t="shared" si="541"/>
        <v>2.0345978417591885E-6</v>
      </c>
      <c r="G659">
        <f t="shared" si="542"/>
        <v>8.2784790321785884E-4</v>
      </c>
      <c r="H659">
        <f t="shared" si="564"/>
        <v>-3.1407648020967822</v>
      </c>
      <c r="J659">
        <f t="shared" si="565"/>
        <v>15</v>
      </c>
      <c r="M659">
        <f t="shared" si="543"/>
        <v>9.6116763761063128E-5</v>
      </c>
      <c r="N659">
        <f t="shared" si="566"/>
        <v>-1.5707963250000001</v>
      </c>
      <c r="O659">
        <f t="shared" si="544"/>
        <v>938.70841646691463</v>
      </c>
      <c r="P659">
        <f t="shared" si="567"/>
        <v>1.5697310330661949</v>
      </c>
      <c r="Q659">
        <f t="shared" si="545"/>
        <v>987.70894157753798</v>
      </c>
      <c r="R659">
        <f t="shared" si="568"/>
        <v>1.5697838826134727</v>
      </c>
      <c r="S659">
        <f t="shared" si="546"/>
        <v>0.43581881312134774</v>
      </c>
      <c r="T659">
        <f t="shared" si="569"/>
        <v>-1.1198484926357108</v>
      </c>
      <c r="U659">
        <f t="shared" si="547"/>
        <v>2.0236443678967497E-2</v>
      </c>
      <c r="V659">
        <f t="shared" si="570"/>
        <v>-1.5505585016780126</v>
      </c>
      <c r="X659">
        <f t="shared" si="548"/>
        <v>-77.898643128731948</v>
      </c>
      <c r="Y659">
        <f t="shared" si="549"/>
        <v>-163.92953635806862</v>
      </c>
      <c r="Z659">
        <f t="shared" si="579"/>
        <v>16.070463641931383</v>
      </c>
      <c r="AC659">
        <v>1</v>
      </c>
      <c r="AD659">
        <f t="shared" si="550"/>
        <v>938.70788382000012</v>
      </c>
      <c r="AE659">
        <f t="shared" si="551"/>
        <v>-48.954027285879043</v>
      </c>
      <c r="AF659">
        <f t="shared" si="552"/>
        <v>0.99085832180999989</v>
      </c>
      <c r="AG659">
        <f t="shared" si="553"/>
        <v>0.36754133933001537</v>
      </c>
      <c r="AH659">
        <f t="shared" si="554"/>
        <v>-19.167855117325235</v>
      </c>
      <c r="AJ659">
        <f t="shared" si="571"/>
        <v>10500</v>
      </c>
      <c r="AK659">
        <f t="shared" si="555"/>
        <v>21684.152116242003</v>
      </c>
      <c r="AL659">
        <v>34</v>
      </c>
      <c r="AM659">
        <f t="shared" si="556"/>
        <v>987.70843535540405</v>
      </c>
      <c r="AN659">
        <f t="shared" si="557"/>
        <v>22.29352509047478</v>
      </c>
      <c r="AO659">
        <f t="shared" si="558"/>
        <v>-9.8632549831554481</v>
      </c>
      <c r="AQ659">
        <f t="shared" si="559"/>
        <v>3.6289737130607717E-5</v>
      </c>
      <c r="AR659">
        <f t="shared" si="560"/>
        <v>-0.60240963636808809</v>
      </c>
      <c r="AT659">
        <f t="shared" si="561"/>
        <v>-11.546887293205502</v>
      </c>
      <c r="AU659">
        <f t="shared" si="562"/>
        <v>-0.22210604099959994</v>
      </c>
      <c r="AV659">
        <f t="shared" si="580"/>
        <v>-3.1223598812378284</v>
      </c>
      <c r="AW659">
        <f t="shared" si="581"/>
        <v>16.629723782945526</v>
      </c>
      <c r="AX659">
        <f t="shared" si="582"/>
        <v>-42.676774484994709</v>
      </c>
      <c r="AY659">
        <f t="shared" si="590"/>
        <v>-1.1992294633066567</v>
      </c>
      <c r="BA659">
        <f t="shared" si="572"/>
        <v>0.25214916954428462</v>
      </c>
      <c r="BB659">
        <f t="shared" si="583"/>
        <v>-11.966849157110921</v>
      </c>
      <c r="BC659">
        <f t="shared" si="584"/>
        <v>-1.9231304179311717</v>
      </c>
      <c r="BD659">
        <f t="shared" si="573"/>
        <v>-290.18725652659356</v>
      </c>
      <c r="BF659">
        <f t="shared" si="574"/>
        <v>-87.773472349279245</v>
      </c>
      <c r="BG659">
        <f t="shared" si="575"/>
        <v>-210.99469694579813</v>
      </c>
      <c r="BH659">
        <f t="shared" si="585"/>
        <v>-30.994696945798125</v>
      </c>
      <c r="BI659">
        <f t="shared" si="586"/>
        <v>-30.994696945798125</v>
      </c>
      <c r="BJ659">
        <f t="shared" si="576"/>
        <v>0</v>
      </c>
      <c r="BK659">
        <f t="shared" si="587"/>
        <v>0</v>
      </c>
      <c r="BM659">
        <f t="shared" si="588"/>
        <v>-75.806623192168317</v>
      </c>
      <c r="BN659">
        <f t="shared" si="577"/>
        <v>-100.80744041920458</v>
      </c>
      <c r="BQ659" s="56">
        <f t="shared" si="589"/>
        <v>4.9351116431742161</v>
      </c>
    </row>
    <row r="660" spans="1:69" x14ac:dyDescent="0.2">
      <c r="A660">
        <f t="shared" si="563"/>
        <v>8400000</v>
      </c>
      <c r="B660">
        <f t="shared" si="578"/>
        <v>8400</v>
      </c>
      <c r="C660">
        <f t="shared" si="539"/>
        <v>5.3717754418790102</v>
      </c>
      <c r="D660">
        <f t="shared" si="540"/>
        <v>1.3835457989407931</v>
      </c>
      <c r="F660">
        <f t="shared" si="541"/>
        <v>1.986443304578411E-6</v>
      </c>
      <c r="G660">
        <f t="shared" si="542"/>
        <v>8.1799253528159284E-4</v>
      </c>
      <c r="H660">
        <f t="shared" si="564"/>
        <v>-3.1407746574647186</v>
      </c>
      <c r="J660">
        <f t="shared" si="565"/>
        <v>15</v>
      </c>
      <c r="M660">
        <f t="shared" si="543"/>
        <v>9.4972516573431435E-5</v>
      </c>
      <c r="N660">
        <f t="shared" si="566"/>
        <v>-1.5707963250000001</v>
      </c>
      <c r="O660">
        <f t="shared" si="544"/>
        <v>950.01814366588349</v>
      </c>
      <c r="P660">
        <f t="shared" si="567"/>
        <v>1.5697437151249694</v>
      </c>
      <c r="Q660">
        <f t="shared" si="545"/>
        <v>999.60903718187501</v>
      </c>
      <c r="R660">
        <f t="shared" si="568"/>
        <v>1.5697959355123043</v>
      </c>
      <c r="S660">
        <f t="shared" si="546"/>
        <v>0.431601701147595</v>
      </c>
      <c r="T660">
        <f t="shared" si="569"/>
        <v>-1.1245287071670822</v>
      </c>
      <c r="U660">
        <f t="shared" si="547"/>
        <v>1.9995630537104184E-2</v>
      </c>
      <c r="V660">
        <f t="shared" si="570"/>
        <v>-1.5507993635583657</v>
      </c>
      <c r="X660">
        <f t="shared" si="548"/>
        <v>-78.090728927110916</v>
      </c>
      <c r="Y660">
        <f t="shared" si="549"/>
        <v>-164.0844329866184</v>
      </c>
      <c r="Z660">
        <f t="shared" si="579"/>
        <v>15.915567013381605</v>
      </c>
      <c r="AC660">
        <v>1</v>
      </c>
      <c r="AD660">
        <f t="shared" si="550"/>
        <v>950.01761736000014</v>
      </c>
      <c r="AE660">
        <f t="shared" si="551"/>
        <v>-50.14074851635398</v>
      </c>
      <c r="AF660">
        <f t="shared" si="552"/>
        <v>1.0027963738800001</v>
      </c>
      <c r="AG660">
        <f t="shared" si="553"/>
        <v>0.35884592229015222</v>
      </c>
      <c r="AH660">
        <f t="shared" si="554"/>
        <v>-18.939840271044304</v>
      </c>
      <c r="AJ660">
        <f t="shared" si="571"/>
        <v>10500</v>
      </c>
      <c r="AK660">
        <f t="shared" si="555"/>
        <v>21945.406961016004</v>
      </c>
      <c r="AL660">
        <v>35</v>
      </c>
      <c r="AM660">
        <f t="shared" si="556"/>
        <v>999.60853698619212</v>
      </c>
      <c r="AN660">
        <f t="shared" si="557"/>
        <v>22.294456930254544</v>
      </c>
      <c r="AO660">
        <f t="shared" si="558"/>
        <v>-9.723500398211737</v>
      </c>
      <c r="AQ660">
        <f t="shared" si="559"/>
        <v>3.5430838876733138E-5</v>
      </c>
      <c r="AR660">
        <f t="shared" si="560"/>
        <v>-0.59523809312911669</v>
      </c>
      <c r="AT660">
        <f t="shared" si="561"/>
        <v>-11.273701692894409</v>
      </c>
      <c r="AU660">
        <f t="shared" si="562"/>
        <v>-0.21426981694014383</v>
      </c>
      <c r="AV660">
        <f t="shared" si="580"/>
        <v>-3.122588778213736</v>
      </c>
      <c r="AW660">
        <f t="shared" si="581"/>
        <v>16.778214293555038</v>
      </c>
      <c r="AX660">
        <f t="shared" si="582"/>
        <v>-42.147066557374394</v>
      </c>
      <c r="AY660">
        <f t="shared" si="590"/>
        <v>-1.1919398673013848</v>
      </c>
      <c r="BA660">
        <f t="shared" si="572"/>
        <v>0.24856189591295369</v>
      </c>
      <c r="BB660">
        <f t="shared" si="583"/>
        <v>-12.091308942937907</v>
      </c>
      <c r="BC660">
        <f t="shared" si="584"/>
        <v>-1.9306489109123512</v>
      </c>
      <c r="BD660">
        <f t="shared" si="573"/>
        <v>-290.61803444320611</v>
      </c>
      <c r="BF660">
        <f t="shared" si="574"/>
        <v>-88.005603287555644</v>
      </c>
      <c r="BG660">
        <f t="shared" si="575"/>
        <v>-211.29983179026399</v>
      </c>
      <c r="BH660">
        <f t="shared" si="585"/>
        <v>-31.299831790263994</v>
      </c>
      <c r="BI660">
        <f t="shared" si="586"/>
        <v>-31.299831790263994</v>
      </c>
      <c r="BJ660">
        <f t="shared" si="576"/>
        <v>0</v>
      </c>
      <c r="BK660">
        <f t="shared" si="587"/>
        <v>0</v>
      </c>
      <c r="BM660">
        <f t="shared" si="588"/>
        <v>-75.91429434461773</v>
      </c>
      <c r="BN660">
        <f t="shared" si="577"/>
        <v>-100.68179734705789</v>
      </c>
      <c r="BQ660" s="56">
        <f t="shared" si="589"/>
        <v>4.8106518573472306</v>
      </c>
    </row>
    <row r="661" spans="1:69" x14ac:dyDescent="0.2">
      <c r="A661">
        <f t="shared" si="563"/>
        <v>8500000</v>
      </c>
      <c r="B661">
        <f t="shared" si="578"/>
        <v>8500</v>
      </c>
      <c r="C661">
        <f t="shared" si="539"/>
        <v>5.4335215702123909</v>
      </c>
      <c r="D661">
        <f t="shared" si="540"/>
        <v>1.3856984862890174</v>
      </c>
      <c r="F661">
        <f t="shared" si="541"/>
        <v>1.9399783256052712E-6</v>
      </c>
      <c r="G661">
        <f t="shared" si="542"/>
        <v>8.0836905959534241E-4</v>
      </c>
      <c r="H661">
        <f t="shared" si="564"/>
        <v>-3.1407842809404047</v>
      </c>
      <c r="J661">
        <f t="shared" si="565"/>
        <v>15</v>
      </c>
      <c r="M661">
        <f t="shared" si="543"/>
        <v>9.3855192849038119E-5</v>
      </c>
      <c r="N661">
        <f t="shared" si="566"/>
        <v>-1.5707963250000001</v>
      </c>
      <c r="O661">
        <f t="shared" si="544"/>
        <v>961.3278710140529</v>
      </c>
      <c r="P661">
        <f t="shared" si="567"/>
        <v>1.569756098782688</v>
      </c>
      <c r="Q661">
        <f t="shared" si="545"/>
        <v>1011.5091329280108</v>
      </c>
      <c r="R661">
        <f t="shared" si="568"/>
        <v>1.5698077048137971</v>
      </c>
      <c r="S661">
        <f t="shared" si="546"/>
        <v>0.42745632350322438</v>
      </c>
      <c r="T661">
        <f t="shared" si="569"/>
        <v>-1.1291191171240582</v>
      </c>
      <c r="U661">
        <f t="shared" si="547"/>
        <v>1.9760480228222858E-2</v>
      </c>
      <c r="V661">
        <f t="shared" si="570"/>
        <v>-1.5510345603398663</v>
      </c>
      <c r="X661">
        <f t="shared" si="548"/>
        <v>-78.280831566095898</v>
      </c>
      <c r="Y661">
        <f t="shared" si="549"/>
        <v>-164.2367475087481</v>
      </c>
      <c r="Z661">
        <f t="shared" si="579"/>
        <v>15.763252491251905</v>
      </c>
      <c r="AC661">
        <v>1</v>
      </c>
      <c r="AD661">
        <f t="shared" si="550"/>
        <v>961.32735090000006</v>
      </c>
      <c r="AE661">
        <f t="shared" si="551"/>
        <v>-51.341681977134002</v>
      </c>
      <c r="AF661">
        <f t="shared" si="552"/>
        <v>1.01473442595</v>
      </c>
      <c r="AG661">
        <f t="shared" si="553"/>
        <v>0.3504554336492951</v>
      </c>
      <c r="AH661">
        <f t="shared" si="554"/>
        <v>-18.717184453261623</v>
      </c>
      <c r="AJ661">
        <f t="shared" si="571"/>
        <v>10500</v>
      </c>
      <c r="AK661">
        <f t="shared" si="555"/>
        <v>22206.661805790001</v>
      </c>
      <c r="AL661">
        <v>36</v>
      </c>
      <c r="AM661">
        <f t="shared" si="556"/>
        <v>1011.5086386169801</v>
      </c>
      <c r="AN661">
        <f t="shared" si="557"/>
        <v>22.295207712618449</v>
      </c>
      <c r="AO661">
        <f t="shared" si="558"/>
        <v>-9.5870387578743763</v>
      </c>
      <c r="AQ661">
        <f t="shared" si="559"/>
        <v>3.4602076004837107E-5</v>
      </c>
      <c r="AR661">
        <f t="shared" si="560"/>
        <v>-0.5882352920822308</v>
      </c>
      <c r="AT661">
        <f t="shared" si="561"/>
        <v>-11.01009633733579</v>
      </c>
      <c r="AU661">
        <f t="shared" si="562"/>
        <v>-0.20679790781354629</v>
      </c>
      <c r="AV661">
        <f t="shared" si="580"/>
        <v>-3.1228122916176275</v>
      </c>
      <c r="AW661">
        <f t="shared" si="581"/>
        <v>16.921185614745426</v>
      </c>
      <c r="AX661">
        <f t="shared" si="582"/>
        <v>-41.629714635948964</v>
      </c>
      <c r="AY661">
        <f t="shared" si="590"/>
        <v>-1.1847257542573744</v>
      </c>
      <c r="BA661">
        <f t="shared" si="572"/>
        <v>0.24505347943853481</v>
      </c>
      <c r="BB661">
        <f t="shared" si="583"/>
        <v>-12.214782533891924</v>
      </c>
      <c r="BC661">
        <f t="shared" si="584"/>
        <v>-1.9380865373602532</v>
      </c>
      <c r="BD661">
        <f t="shared" si="573"/>
        <v>-291.04417904875271</v>
      </c>
      <c r="BF661">
        <f t="shared" si="574"/>
        <v>-88.23539188708061</v>
      </c>
      <c r="BG661">
        <f t="shared" si="575"/>
        <v>-211.6031878805469</v>
      </c>
      <c r="BH661">
        <f t="shared" si="585"/>
        <v>-31.603187880546898</v>
      </c>
      <c r="BI661">
        <f t="shared" si="586"/>
        <v>-31.603187880546898</v>
      </c>
      <c r="BJ661">
        <f t="shared" si="576"/>
        <v>0</v>
      </c>
      <c r="BK661">
        <f t="shared" si="587"/>
        <v>0</v>
      </c>
      <c r="BM661">
        <f t="shared" si="588"/>
        <v>-76.020609353188689</v>
      </c>
      <c r="BN661">
        <f t="shared" si="577"/>
        <v>-100.55900883179417</v>
      </c>
      <c r="BQ661" s="56">
        <f t="shared" si="589"/>
        <v>4.6871782663932136</v>
      </c>
    </row>
    <row r="662" spans="1:69" x14ac:dyDescent="0.2">
      <c r="A662">
        <f t="shared" si="563"/>
        <v>8600000</v>
      </c>
      <c r="B662">
        <f t="shared" si="578"/>
        <v>8600</v>
      </c>
      <c r="C662">
        <f t="shared" si="539"/>
        <v>5.4952923119207275</v>
      </c>
      <c r="D662">
        <f t="shared" si="540"/>
        <v>1.3878027879308372</v>
      </c>
      <c r="F662">
        <f t="shared" si="541"/>
        <v>1.8951247792218757E-6</v>
      </c>
      <c r="G662">
        <f t="shared" si="542"/>
        <v>7.9896938683791203E-4</v>
      </c>
      <c r="H662">
        <f t="shared" si="564"/>
        <v>-3.1407936806131622</v>
      </c>
      <c r="J662">
        <f t="shared" si="565"/>
        <v>15</v>
      </c>
      <c r="M662">
        <f t="shared" si="543"/>
        <v>9.2763853397305127E-5</v>
      </c>
      <c r="N662">
        <f t="shared" si="566"/>
        <v>-1.5707963250000001</v>
      </c>
      <c r="O662">
        <f t="shared" si="544"/>
        <v>972.63759850621841</v>
      </c>
      <c r="P662">
        <f t="shared" si="567"/>
        <v>1.5697681944486745</v>
      </c>
      <c r="Q662">
        <f t="shared" si="545"/>
        <v>1023.4092288109989</v>
      </c>
      <c r="R662">
        <f t="shared" si="568"/>
        <v>1.5698192004108682</v>
      </c>
      <c r="S662">
        <f t="shared" si="546"/>
        <v>0.423381149690084</v>
      </c>
      <c r="T662">
        <f t="shared" si="569"/>
        <v>-1.1336220947129654</v>
      </c>
      <c r="U662">
        <f t="shared" si="547"/>
        <v>1.953079536505992E-2</v>
      </c>
      <c r="V662">
        <f t="shared" si="570"/>
        <v>-1.5512642895399302</v>
      </c>
      <c r="X662">
        <f t="shared" si="548"/>
        <v>-78.468990413979455</v>
      </c>
      <c r="Y662">
        <f t="shared" si="549"/>
        <v>-164.38653091247267</v>
      </c>
      <c r="Z662">
        <f t="shared" si="579"/>
        <v>15.613469087527335</v>
      </c>
      <c r="AC662">
        <v>1</v>
      </c>
      <c r="AD662">
        <f t="shared" si="550"/>
        <v>972.63708444000008</v>
      </c>
      <c r="AE662">
        <f t="shared" si="551"/>
        <v>-52.556827668219114</v>
      </c>
      <c r="AF662">
        <f t="shared" si="552"/>
        <v>1.0266724780200001</v>
      </c>
      <c r="AG662">
        <f t="shared" si="553"/>
        <v>0.34235578254780613</v>
      </c>
      <c r="AH662">
        <f t="shared" si="554"/>
        <v>-18.499700996380803</v>
      </c>
      <c r="AJ662">
        <f t="shared" si="571"/>
        <v>10500</v>
      </c>
      <c r="AK662">
        <f t="shared" si="555"/>
        <v>22467.916650564002</v>
      </c>
      <c r="AL662">
        <v>37</v>
      </c>
      <c r="AM662">
        <f t="shared" si="556"/>
        <v>1023.408740247768</v>
      </c>
      <c r="AN662">
        <f t="shared" si="557"/>
        <v>22.295789257154428</v>
      </c>
      <c r="AO662">
        <f t="shared" si="558"/>
        <v>-9.453755295409092</v>
      </c>
      <c r="AQ662">
        <f t="shared" si="559"/>
        <v>3.3802055050696138E-5</v>
      </c>
      <c r="AR662">
        <f t="shared" si="560"/>
        <v>-0.58139534687197358</v>
      </c>
      <c r="AT662">
        <f t="shared" si="561"/>
        <v>-10.755628505489604</v>
      </c>
      <c r="AU662">
        <f t="shared" si="562"/>
        <v>-0.19966938685950877</v>
      </c>
      <c r="AV662">
        <f t="shared" si="580"/>
        <v>-3.1230306091462308</v>
      </c>
      <c r="AW662">
        <f t="shared" si="581"/>
        <v>17.058900067041296</v>
      </c>
      <c r="AX662">
        <f t="shared" si="582"/>
        <v>-41.124294968358477</v>
      </c>
      <c r="AY662">
        <f t="shared" si="590"/>
        <v>-1.177585537671038</v>
      </c>
      <c r="BA662">
        <f t="shared" si="572"/>
        <v>0.24162138985192269</v>
      </c>
      <c r="BB662">
        <f t="shared" si="583"/>
        <v>-12.337292437155183</v>
      </c>
      <c r="BC662">
        <f t="shared" si="584"/>
        <v>-1.9454450714751927</v>
      </c>
      <c r="BD662">
        <f t="shared" si="573"/>
        <v>-291.46579199742354</v>
      </c>
      <c r="BF662">
        <f t="shared" si="574"/>
        <v>-88.46289507554927</v>
      </c>
      <c r="BG662">
        <f t="shared" si="575"/>
        <v>-211.90477178775967</v>
      </c>
      <c r="BH662">
        <f t="shared" si="585"/>
        <v>-31.904771787759671</v>
      </c>
      <c r="BI662">
        <f t="shared" si="586"/>
        <v>-31.904771787759671</v>
      </c>
      <c r="BJ662">
        <f t="shared" si="576"/>
        <v>0</v>
      </c>
      <c r="BK662">
        <f t="shared" si="587"/>
        <v>0</v>
      </c>
      <c r="BM662">
        <f t="shared" si="588"/>
        <v>-76.125602638394099</v>
      </c>
      <c r="BN662">
        <f t="shared" si="577"/>
        <v>-100.43897979033612</v>
      </c>
      <c r="BQ662" s="56">
        <f t="shared" si="589"/>
        <v>4.5646683631299547</v>
      </c>
    </row>
    <row r="663" spans="1:69" x14ac:dyDescent="0.2">
      <c r="A663">
        <f t="shared" si="563"/>
        <v>8700000</v>
      </c>
      <c r="B663">
        <f t="shared" si="578"/>
        <v>8700</v>
      </c>
      <c r="C663">
        <f t="shared" si="539"/>
        <v>5.557086846221643</v>
      </c>
      <c r="D663">
        <f t="shared" si="540"/>
        <v>1.3898602990524687</v>
      </c>
      <c r="F663">
        <f t="shared" si="541"/>
        <v>1.8518090038455233E-6</v>
      </c>
      <c r="G663">
        <f t="shared" si="542"/>
        <v>7.8978579961412078E-4</v>
      </c>
      <c r="H663">
        <f t="shared" si="564"/>
        <v>-3.1408028642003862</v>
      </c>
      <c r="J663">
        <f t="shared" si="565"/>
        <v>15</v>
      </c>
      <c r="M663">
        <f t="shared" si="543"/>
        <v>9.1697602208830342E-5</v>
      </c>
      <c r="N663">
        <f t="shared" si="566"/>
        <v>-1.5707963250000001</v>
      </c>
      <c r="O663">
        <f t="shared" si="544"/>
        <v>983.94732613741428</v>
      </c>
      <c r="P663">
        <f t="shared" si="567"/>
        <v>1.5697800120536647</v>
      </c>
      <c r="Q663">
        <f t="shared" si="545"/>
        <v>1035.3093248261202</v>
      </c>
      <c r="R663">
        <f t="shared" si="568"/>
        <v>1.5698304317415896</v>
      </c>
      <c r="S663">
        <f t="shared" si="546"/>
        <v>0.41937467971050946</v>
      </c>
      <c r="T663">
        <f t="shared" si="569"/>
        <v>-1.1380399368203813</v>
      </c>
      <c r="U663">
        <f t="shared" si="547"/>
        <v>1.9306387626967583E-2</v>
      </c>
      <c r="V663">
        <f t="shared" si="570"/>
        <v>-1.5514887396004888</v>
      </c>
      <c r="X663">
        <f t="shared" si="548"/>
        <v>-78.655243663379977</v>
      </c>
      <c r="Y663">
        <f t="shared" si="549"/>
        <v>-164.53383353161206</v>
      </c>
      <c r="Z663">
        <f t="shared" si="579"/>
        <v>15.466166468387939</v>
      </c>
      <c r="AC663">
        <v>1</v>
      </c>
      <c r="AD663">
        <f t="shared" si="550"/>
        <v>983.94681797999999</v>
      </c>
      <c r="AE663">
        <f t="shared" si="551"/>
        <v>-53.78618558960931</v>
      </c>
      <c r="AF663">
        <f t="shared" si="552"/>
        <v>1.0386105300899999</v>
      </c>
      <c r="AG663">
        <f t="shared" si="553"/>
        <v>0.33453368265286276</v>
      </c>
      <c r="AH663">
        <f t="shared" si="554"/>
        <v>-18.287211799688279</v>
      </c>
      <c r="AJ663">
        <f t="shared" si="571"/>
        <v>10500</v>
      </c>
      <c r="AK663">
        <f t="shared" si="555"/>
        <v>22729.171495338003</v>
      </c>
      <c r="AL663">
        <v>38</v>
      </c>
      <c r="AM663">
        <f t="shared" si="556"/>
        <v>1035.308841878556</v>
      </c>
      <c r="AN663">
        <f t="shared" si="557"/>
        <v>22.296212589677324</v>
      </c>
      <c r="AO663">
        <f t="shared" si="558"/>
        <v>-9.3235405041817963</v>
      </c>
      <c r="AQ663">
        <f t="shared" si="559"/>
        <v>3.3029462171259541E-5</v>
      </c>
      <c r="AR663">
        <f t="shared" si="560"/>
        <v>-0.57471264177991599</v>
      </c>
      <c r="AT663">
        <f t="shared" si="561"/>
        <v>-10.509880754720086</v>
      </c>
      <c r="AU663">
        <f t="shared" si="562"/>
        <v>-0.19286475329214645</v>
      </c>
      <c r="AV663">
        <f t="shared" si="580"/>
        <v>-3.123243909872313</v>
      </c>
      <c r="AW663">
        <f t="shared" si="581"/>
        <v>17.191604747432056</v>
      </c>
      <c r="AX663">
        <f t="shared" si="582"/>
        <v>-40.630402794647807</v>
      </c>
      <c r="AY663">
        <f t="shared" si="590"/>
        <v>-1.1705176988550334</v>
      </c>
      <c r="BA663">
        <f t="shared" si="572"/>
        <v>0.23826320716304769</v>
      </c>
      <c r="BB663">
        <f t="shared" si="583"/>
        <v>-12.458860333074162</v>
      </c>
      <c r="BC663">
        <f t="shared" si="584"/>
        <v>-1.9527262110172796</v>
      </c>
      <c r="BD663">
        <f t="shared" si="573"/>
        <v>-291.88297056370766</v>
      </c>
      <c r="BF663">
        <f t="shared" si="574"/>
        <v>-88.688167644235776</v>
      </c>
      <c r="BG663">
        <f t="shared" si="575"/>
        <v>-212.20458983112766</v>
      </c>
      <c r="BH663">
        <f t="shared" si="585"/>
        <v>-32.204589831127663</v>
      </c>
      <c r="BI663">
        <f t="shared" si="586"/>
        <v>-32.204589831127663</v>
      </c>
      <c r="BJ663">
        <f t="shared" si="576"/>
        <v>0</v>
      </c>
      <c r="BK663">
        <f t="shared" si="587"/>
        <v>0</v>
      </c>
      <c r="BM663">
        <f t="shared" si="588"/>
        <v>-76.229307311161605</v>
      </c>
      <c r="BN663">
        <f t="shared" si="577"/>
        <v>-100.32161926742003</v>
      </c>
      <c r="BQ663" s="56">
        <f t="shared" si="589"/>
        <v>4.4431004672109751</v>
      </c>
    </row>
    <row r="664" spans="1:69" x14ac:dyDescent="0.2">
      <c r="A664">
        <f t="shared" si="563"/>
        <v>8800000</v>
      </c>
      <c r="B664">
        <f t="shared" si="578"/>
        <v>8800</v>
      </c>
      <c r="C664">
        <f t="shared" si="539"/>
        <v>5.618904388130038</v>
      </c>
      <c r="D664">
        <f t="shared" si="540"/>
        <v>1.3918725462665589</v>
      </c>
      <c r="F664">
        <f t="shared" si="541"/>
        <v>1.8099614993044745E-6</v>
      </c>
      <c r="G664">
        <f t="shared" si="542"/>
        <v>7.8081093132242635E-4</v>
      </c>
      <c r="H664">
        <f t="shared" si="564"/>
        <v>-3.1408118390686779</v>
      </c>
      <c r="J664">
        <f t="shared" si="565"/>
        <v>15</v>
      </c>
      <c r="M664">
        <f t="shared" si="543"/>
        <v>9.0655584001911817E-5</v>
      </c>
      <c r="N664">
        <f t="shared" si="566"/>
        <v>-1.5707963250000001</v>
      </c>
      <c r="O664">
        <f t="shared" si="544"/>
        <v>995.25705390290113</v>
      </c>
      <c r="P664">
        <f t="shared" si="567"/>
        <v>1.5697915610769975</v>
      </c>
      <c r="Q664">
        <f t="shared" si="545"/>
        <v>1047.2094209688703</v>
      </c>
      <c r="R664">
        <f t="shared" si="568"/>
        <v>1.56984140781503</v>
      </c>
      <c r="S664">
        <f t="shared" si="546"/>
        <v>0.41543544412426847</v>
      </c>
      <c r="T664">
        <f t="shared" si="569"/>
        <v>-1.1423748675968795</v>
      </c>
      <c r="U664">
        <f t="shared" si="547"/>
        <v>1.9087077245345335E-2</v>
      </c>
      <c r="V664">
        <f t="shared" si="570"/>
        <v>-1.5517080904032552</v>
      </c>
      <c r="X664">
        <f t="shared" si="548"/>
        <v>-78.839628380667065</v>
      </c>
      <c r="Y664">
        <f t="shared" si="549"/>
        <v>-164.6787050013759</v>
      </c>
      <c r="Z664">
        <f t="shared" si="579"/>
        <v>15.321294998624097</v>
      </c>
      <c r="AC664">
        <v>1</v>
      </c>
      <c r="AD664">
        <f t="shared" si="550"/>
        <v>995.25655152000013</v>
      </c>
      <c r="AE664">
        <f t="shared" si="551"/>
        <v>-55.029755741304591</v>
      </c>
      <c r="AF664">
        <f t="shared" si="552"/>
        <v>1.05054858216</v>
      </c>
      <c r="AG664">
        <f t="shared" si="553"/>
        <v>0.32697659766595161</v>
      </c>
      <c r="AH664">
        <f t="shared" si="554"/>
        <v>-18.079546843638894</v>
      </c>
      <c r="AJ664">
        <f t="shared" si="571"/>
        <v>10500</v>
      </c>
      <c r="AK664">
        <f t="shared" si="555"/>
        <v>22990.426340112004</v>
      </c>
      <c r="AL664">
        <v>39</v>
      </c>
      <c r="AM664">
        <f t="shared" si="556"/>
        <v>1047.2089435093442</v>
      </c>
      <c r="AN664">
        <f t="shared" si="557"/>
        <v>22.296488001373092</v>
      </c>
      <c r="AO664">
        <f t="shared" si="558"/>
        <v>-9.1962898403765561</v>
      </c>
      <c r="AQ664">
        <f t="shared" si="559"/>
        <v>3.2283057747020086E-5</v>
      </c>
      <c r="AR664">
        <f t="shared" si="560"/>
        <v>-0.56818181634755349</v>
      </c>
      <c r="AT664">
        <f t="shared" si="561"/>
        <v>-10.272459208555039</v>
      </c>
      <c r="AU664">
        <f t="shared" si="562"/>
        <v>-0.18636582021977677</v>
      </c>
      <c r="AV664">
        <f t="shared" si="580"/>
        <v>-3.1234523647342938</v>
      </c>
      <c r="AW664">
        <f t="shared" si="581"/>
        <v>17.319532571099955</v>
      </c>
      <c r="AX664">
        <f t="shared" si="582"/>
        <v>-40.147651304579334</v>
      </c>
      <c r="AY664">
        <f t="shared" si="590"/>
        <v>-1.1635207829222669</v>
      </c>
      <c r="BA664">
        <f t="shared" si="572"/>
        <v>0.23497661564800404</v>
      </c>
      <c r="BB664">
        <f t="shared" si="583"/>
        <v>-12.579507112042219</v>
      </c>
      <c r="BC664">
        <f t="shared" si="584"/>
        <v>-1.9599315818120269</v>
      </c>
      <c r="BD664">
        <f t="shared" si="573"/>
        <v>-292.29580790054524</v>
      </c>
      <c r="BF664">
        <f t="shared" si="574"/>
        <v>-88.911262350817864</v>
      </c>
      <c r="BG664">
        <f t="shared" si="575"/>
        <v>-212.50264811720456</v>
      </c>
      <c r="BH664">
        <f t="shared" si="585"/>
        <v>-32.502648117204558</v>
      </c>
      <c r="BI664">
        <f t="shared" si="586"/>
        <v>-32.502648117204558</v>
      </c>
      <c r="BJ664">
        <f t="shared" si="576"/>
        <v>0</v>
      </c>
      <c r="BK664">
        <f t="shared" si="587"/>
        <v>0</v>
      </c>
      <c r="BM664">
        <f t="shared" si="588"/>
        <v>-76.331755238775642</v>
      </c>
      <c r="BN664">
        <f t="shared" si="577"/>
        <v>-100.20684021665934</v>
      </c>
      <c r="BQ664" s="56">
        <f t="shared" si="589"/>
        <v>4.3224536882429181</v>
      </c>
    </row>
    <row r="665" spans="1:69" x14ac:dyDescent="0.2">
      <c r="A665">
        <f t="shared" si="563"/>
        <v>8900000</v>
      </c>
      <c r="B665">
        <f t="shared" si="578"/>
        <v>8900</v>
      </c>
      <c r="C665">
        <f t="shared" si="539"/>
        <v>5.6807441865434489</v>
      </c>
      <c r="D665">
        <f t="shared" si="540"/>
        <v>1.3938409912154255</v>
      </c>
      <c r="F665">
        <f t="shared" si="541"/>
        <v>1.7695166478807007E-6</v>
      </c>
      <c r="G665">
        <f t="shared" si="542"/>
        <v>7.7203774644722331E-4</v>
      </c>
      <c r="H665">
        <f t="shared" si="564"/>
        <v>-3.1408206122535529</v>
      </c>
      <c r="J665">
        <f t="shared" si="565"/>
        <v>15</v>
      </c>
      <c r="M665">
        <f t="shared" si="543"/>
        <v>8.9636981934474615E-5</v>
      </c>
      <c r="N665">
        <f t="shared" si="566"/>
        <v>-1.5707963250000001</v>
      </c>
      <c r="O665">
        <f t="shared" si="544"/>
        <v>1006.5667817981523</v>
      </c>
      <c r="P665">
        <f t="shared" si="567"/>
        <v>1.569802850571975</v>
      </c>
      <c r="Q665">
        <f t="shared" si="545"/>
        <v>1059.1095172349467</v>
      </c>
      <c r="R665">
        <f t="shared" si="568"/>
        <v>1.5698521372353569</v>
      </c>
      <c r="S665">
        <f t="shared" si="546"/>
        <v>0.41156200401934456</v>
      </c>
      <c r="T665">
        <f t="shared" si="569"/>
        <v>-1.1466290409595652</v>
      </c>
      <c r="U665">
        <f t="shared" si="547"/>
        <v>1.8872692523716521E-2</v>
      </c>
      <c r="V665">
        <f t="shared" si="570"/>
        <v>-1.5519225137502817</v>
      </c>
      <c r="X665">
        <f t="shared" si="548"/>
        <v>-79.022180552546985</v>
      </c>
      <c r="Y665">
        <f t="shared" si="549"/>
        <v>-164.82119422112717</v>
      </c>
      <c r="Z665">
        <f t="shared" si="579"/>
        <v>15.178805778872828</v>
      </c>
      <c r="AC665">
        <v>1</v>
      </c>
      <c r="AD665">
        <f t="shared" si="550"/>
        <v>1006.5662850600002</v>
      </c>
      <c r="AE665">
        <f t="shared" si="551"/>
        <v>-56.287538123304969</v>
      </c>
      <c r="AF665">
        <f t="shared" si="552"/>
        <v>1.0624866342299999</v>
      </c>
      <c r="AG665">
        <f t="shared" si="553"/>
        <v>0.31967269108780449</v>
      </c>
      <c r="AH665">
        <f t="shared" si="554"/>
        <v>-17.876543736805903</v>
      </c>
      <c r="AJ665">
        <f t="shared" si="571"/>
        <v>10500</v>
      </c>
      <c r="AK665">
        <f t="shared" si="555"/>
        <v>23251.681184886005</v>
      </c>
      <c r="AL665">
        <v>40</v>
      </c>
      <c r="AM665">
        <f t="shared" si="556"/>
        <v>1059.1090451401321</v>
      </c>
      <c r="AN665">
        <f t="shared" si="557"/>
        <v>22.296625103023043</v>
      </c>
      <c r="AO665">
        <f t="shared" si="558"/>
        <v>-9.0719034456058409</v>
      </c>
      <c r="AQ665">
        <f t="shared" si="559"/>
        <v>3.1561671406509055E-5</v>
      </c>
      <c r="AR665">
        <f t="shared" si="560"/>
        <v>-0.56179775103586116</v>
      </c>
      <c r="AT665">
        <f t="shared" si="561"/>
        <v>-10.042991978227333</v>
      </c>
      <c r="AU665">
        <f t="shared" si="562"/>
        <v>-0.1801556125200153</v>
      </c>
      <c r="AV665">
        <f t="shared" si="580"/>
        <v>-3.1236561369928779</v>
      </c>
      <c r="AW665">
        <f t="shared" si="581"/>
        <v>17.442903231223688</v>
      </c>
      <c r="AX665">
        <f t="shared" si="582"/>
        <v>-39.675670662227951</v>
      </c>
      <c r="AY665">
        <f t="shared" si="590"/>
        <v>-1.1565933950427874</v>
      </c>
      <c r="BA665">
        <f t="shared" si="572"/>
        <v>0.23175939822297276</v>
      </c>
      <c r="BB665">
        <f t="shared" si="583"/>
        <v>-12.699252909484372</v>
      </c>
      <c r="BC665">
        <f t="shared" si="584"/>
        <v>-1.9670627419500906</v>
      </c>
      <c r="BD665">
        <f t="shared" si="573"/>
        <v>-292.70439327995507</v>
      </c>
      <c r="BF665">
        <f t="shared" si="574"/>
        <v>-89.132230016204318</v>
      </c>
      <c r="BG665">
        <f t="shared" si="575"/>
        <v>-212.79895257517845</v>
      </c>
      <c r="BH665">
        <f t="shared" si="585"/>
        <v>-32.798952575178447</v>
      </c>
      <c r="BI665">
        <f t="shared" si="586"/>
        <v>-32.798952575178447</v>
      </c>
      <c r="BJ665">
        <f t="shared" si="576"/>
        <v>0</v>
      </c>
      <c r="BK665">
        <f t="shared" si="587"/>
        <v>0</v>
      </c>
      <c r="BM665">
        <f t="shared" si="588"/>
        <v>-76.43297710671996</v>
      </c>
      <c r="BN665">
        <f t="shared" si="577"/>
        <v>-100.09455929522338</v>
      </c>
      <c r="BQ665" s="56">
        <f t="shared" si="589"/>
        <v>4.2027078908007667</v>
      </c>
    </row>
    <row r="666" spans="1:69" x14ac:dyDescent="0.2">
      <c r="A666">
        <f t="shared" si="563"/>
        <v>9000000</v>
      </c>
      <c r="B666">
        <f t="shared" si="578"/>
        <v>9000</v>
      </c>
      <c r="C666">
        <f t="shared" si="539"/>
        <v>5.7426055224479979</v>
      </c>
      <c r="D666">
        <f t="shared" si="540"/>
        <v>1.3957670339521815</v>
      </c>
      <c r="F666">
        <f t="shared" si="541"/>
        <v>1.7304124569276996E-6</v>
      </c>
      <c r="G666">
        <f t="shared" si="542"/>
        <v>7.6345952216500066E-4</v>
      </c>
      <c r="H666">
        <f t="shared" si="564"/>
        <v>-3.1408291904778354</v>
      </c>
      <c r="J666">
        <f t="shared" si="565"/>
        <v>15</v>
      </c>
      <c r="M666">
        <f t="shared" si="543"/>
        <v>8.8641015468536005E-5</v>
      </c>
      <c r="N666">
        <f t="shared" si="566"/>
        <v>-1.5707963250000001</v>
      </c>
      <c r="O666">
        <f t="shared" si="544"/>
        <v>1017.8765098188421</v>
      </c>
      <c r="P666">
        <f t="shared" si="567"/>
        <v>1.5698138891895315</v>
      </c>
      <c r="Q666">
        <f t="shared" si="545"/>
        <v>1071.0096136202392</v>
      </c>
      <c r="R666">
        <f t="shared" si="568"/>
        <v>1.5698626282243313</v>
      </c>
      <c r="S666">
        <f t="shared" si="546"/>
        <v>0.4077529509066864</v>
      </c>
      <c r="T666">
        <f t="shared" si="569"/>
        <v>-1.1508045430143572</v>
      </c>
      <c r="U666">
        <f t="shared" si="547"/>
        <v>1.866306938975951E-2</v>
      </c>
      <c r="V666">
        <f t="shared" si="570"/>
        <v>-1.5521321738125087</v>
      </c>
      <c r="X666">
        <f t="shared" si="548"/>
        <v>-79.202935130020336</v>
      </c>
      <c r="Y666">
        <f t="shared" si="549"/>
        <v>-164.96134932355352</v>
      </c>
      <c r="Z666">
        <f t="shared" si="579"/>
        <v>15.03865067644648</v>
      </c>
      <c r="AC666">
        <v>1</v>
      </c>
      <c r="AD666">
        <f t="shared" si="550"/>
        <v>1017.8760186000001</v>
      </c>
      <c r="AE666">
        <f t="shared" si="551"/>
        <v>-57.559532735610432</v>
      </c>
      <c r="AF666">
        <f t="shared" si="552"/>
        <v>1.0744246863</v>
      </c>
      <c r="AG666">
        <f t="shared" si="553"/>
        <v>0.31261077986487801</v>
      </c>
      <c r="AH666">
        <f t="shared" si="554"/>
        <v>-17.678047292961896</v>
      </c>
      <c r="AJ666">
        <f t="shared" si="571"/>
        <v>10500</v>
      </c>
      <c r="AK666">
        <f t="shared" si="555"/>
        <v>23512.936029660003</v>
      </c>
      <c r="AL666">
        <v>41</v>
      </c>
      <c r="AM666">
        <f t="shared" si="556"/>
        <v>1071.0091467709201</v>
      </c>
      <c r="AN666">
        <f t="shared" si="557"/>
        <v>22.296632874761823</v>
      </c>
      <c r="AO666">
        <f t="shared" si="558"/>
        <v>-8.9502858878805593</v>
      </c>
      <c r="AQ666">
        <f t="shared" si="559"/>
        <v>3.0864197435604332E-5</v>
      </c>
      <c r="AR666">
        <f t="shared" si="560"/>
        <v>-0.55555555384087796</v>
      </c>
      <c r="AT666">
        <f t="shared" si="561"/>
        <v>-9.82112770618585</v>
      </c>
      <c r="AU666">
        <f t="shared" si="562"/>
        <v>-0.17421827368638701</v>
      </c>
      <c r="AV666">
        <f t="shared" si="580"/>
        <v>-3.1238553826572719</v>
      </c>
      <c r="AW666">
        <f t="shared" si="581"/>
        <v>17.56192408412015</v>
      </c>
      <c r="AX666">
        <f t="shared" si="582"/>
        <v>-39.214107092900868</v>
      </c>
      <c r="AY666">
        <f t="shared" si="590"/>
        <v>-1.1497341969528694</v>
      </c>
      <c r="BA666">
        <f t="shared" si="572"/>
        <v>0.22860943117651983</v>
      </c>
      <c r="BB666">
        <f t="shared" si="583"/>
        <v>-12.818117139056923</v>
      </c>
      <c r="BC666">
        <f t="shared" si="584"/>
        <v>-1.9741211857044025</v>
      </c>
      <c r="BD666">
        <f t="shared" si="573"/>
        <v>-293.10881231746976</v>
      </c>
      <c r="BF666">
        <f t="shared" si="574"/>
        <v>-89.351119615778956</v>
      </c>
      <c r="BG666">
        <f t="shared" si="575"/>
        <v>-213.09350898863673</v>
      </c>
      <c r="BH666">
        <f t="shared" si="585"/>
        <v>-33.093508988636728</v>
      </c>
      <c r="BI666">
        <f t="shared" si="586"/>
        <v>-33.093508988636728</v>
      </c>
      <c r="BJ666">
        <f t="shared" si="576"/>
        <v>0</v>
      </c>
      <c r="BK666">
        <f t="shared" si="587"/>
        <v>0</v>
      </c>
      <c r="BM666">
        <f t="shared" si="588"/>
        <v>-76.533002476722032</v>
      </c>
      <c r="BN666">
        <f t="shared" si="577"/>
        <v>-99.984696671167001</v>
      </c>
      <c r="BQ666" s="56">
        <f t="shared" si="589"/>
        <v>4.0838436612282134</v>
      </c>
    </row>
    <row r="667" spans="1:69" x14ac:dyDescent="0.2">
      <c r="A667">
        <f t="shared" si="563"/>
        <v>9100000</v>
      </c>
      <c r="B667">
        <f t="shared" si="578"/>
        <v>9100</v>
      </c>
      <c r="C667">
        <f t="shared" si="539"/>
        <v>5.8044877072361949</v>
      </c>
      <c r="D667">
        <f t="shared" si="540"/>
        <v>1.3976520161153561</v>
      </c>
      <c r="F667">
        <f t="shared" si="541"/>
        <v>1.6925903211771934E-6</v>
      </c>
      <c r="G667">
        <f t="shared" si="542"/>
        <v>7.5506983116329458E-4</v>
      </c>
      <c r="H667">
        <f t="shared" si="564"/>
        <v>-3.1408375801688369</v>
      </c>
      <c r="J667">
        <f t="shared" si="565"/>
        <v>15</v>
      </c>
      <c r="M667">
        <f t="shared" si="543"/>
        <v>8.7666938375475167E-5</v>
      </c>
      <c r="N667">
        <f t="shared" si="566"/>
        <v>-1.5707963250000001</v>
      </c>
      <c r="O667">
        <f t="shared" si="544"/>
        <v>1029.1862379608353</v>
      </c>
      <c r="P667">
        <f t="shared" si="567"/>
        <v>1.5698246852003401</v>
      </c>
      <c r="Q667">
        <f t="shared" si="545"/>
        <v>1082.9097101208172</v>
      </c>
      <c r="R667">
        <f t="shared" si="568"/>
        <v>1.5698728886423183</v>
      </c>
      <c r="S667">
        <f t="shared" si="546"/>
        <v>0.40400690654808707</v>
      </c>
      <c r="T667">
        <f t="shared" si="569"/>
        <v>-1.1549033943991993</v>
      </c>
      <c r="U667">
        <f t="shared" si="547"/>
        <v>1.8458050976838735E-2</v>
      </c>
      <c r="V667">
        <f t="shared" si="570"/>
        <v>-1.5523372275487628</v>
      </c>
      <c r="X667">
        <f t="shared" si="548"/>
        <v>-79.381926069905333</v>
      </c>
      <c r="Y667">
        <f t="shared" si="549"/>
        <v>-165.09921764955143</v>
      </c>
      <c r="Z667">
        <f t="shared" si="579"/>
        <v>14.900782350448566</v>
      </c>
      <c r="AC667">
        <v>1</v>
      </c>
      <c r="AD667">
        <f t="shared" si="550"/>
        <v>1029.1857521400002</v>
      </c>
      <c r="AE667">
        <f t="shared" si="551"/>
        <v>-58.845739578220986</v>
      </c>
      <c r="AF667">
        <f t="shared" si="552"/>
        <v>1.0863627383699999</v>
      </c>
      <c r="AG667">
        <f t="shared" si="553"/>
        <v>0.3057802915783906</v>
      </c>
      <c r="AH667">
        <f t="shared" si="554"/>
        <v>-17.483909135979044</v>
      </c>
      <c r="AJ667">
        <f t="shared" si="571"/>
        <v>10500</v>
      </c>
      <c r="AK667">
        <f t="shared" si="555"/>
        <v>23774.190874434003</v>
      </c>
      <c r="AL667">
        <v>42</v>
      </c>
      <c r="AM667">
        <f t="shared" si="556"/>
        <v>1082.9092484017081</v>
      </c>
      <c r="AN667">
        <f t="shared" si="557"/>
        <v>22.296519711777382</v>
      </c>
      <c r="AO667">
        <f t="shared" si="558"/>
        <v>-8.8313459195407358</v>
      </c>
      <c r="AQ667">
        <f t="shared" si="559"/>
        <v>3.018959053800993E-5</v>
      </c>
      <c r="AR667">
        <f t="shared" si="560"/>
        <v>-0.54945054779178071</v>
      </c>
      <c r="AT667">
        <f t="shared" si="561"/>
        <v>-9.6065342209236064</v>
      </c>
      <c r="AU667">
        <f t="shared" si="562"/>
        <v>-0.16853898076949611</v>
      </c>
      <c r="AV667">
        <f t="shared" si="580"/>
        <v>-3.1240502508833261</v>
      </c>
      <c r="AW667">
        <f t="shared" si="581"/>
        <v>17.676790966272428</v>
      </c>
      <c r="AX667">
        <f t="shared" si="582"/>
        <v>-38.762622027833103</v>
      </c>
      <c r="AY667">
        <f t="shared" si="590"/>
        <v>-1.1429419036973225</v>
      </c>
      <c r="BA667">
        <f t="shared" si="572"/>
        <v>0.2255246792341897</v>
      </c>
      <c r="BB667">
        <f t="shared" si="583"/>
        <v>-12.936118524166996</v>
      </c>
      <c r="BC667">
        <f t="shared" si="584"/>
        <v>-1.9811083471860036</v>
      </c>
      <c r="BD667">
        <f t="shared" si="573"/>
        <v>-293.5091471815993</v>
      </c>
      <c r="BF667">
        <f t="shared" si="574"/>
        <v>-89.567978365441846</v>
      </c>
      <c r="BG667">
        <f t="shared" si="575"/>
        <v>-213.38632302412188</v>
      </c>
      <c r="BH667">
        <f t="shared" si="585"/>
        <v>-33.386323024121879</v>
      </c>
      <c r="BI667">
        <f t="shared" si="586"/>
        <v>-33.386323024121879</v>
      </c>
      <c r="BJ667">
        <f t="shared" si="576"/>
        <v>0</v>
      </c>
      <c r="BK667">
        <f t="shared" si="587"/>
        <v>0</v>
      </c>
      <c r="BM667">
        <f t="shared" si="588"/>
        <v>-76.631859841274846</v>
      </c>
      <c r="BN667">
        <f t="shared" si="577"/>
        <v>-99.87717584252259</v>
      </c>
      <c r="BQ667" s="56">
        <f t="shared" si="589"/>
        <v>3.9658422761181407</v>
      </c>
    </row>
    <row r="668" spans="1:69" x14ac:dyDescent="0.2">
      <c r="A668">
        <f t="shared" si="563"/>
        <v>9200000</v>
      </c>
      <c r="B668">
        <f t="shared" si="578"/>
        <v>9200</v>
      </c>
      <c r="C668">
        <f t="shared" si="539"/>
        <v>5.8663900811286647</v>
      </c>
      <c r="D668">
        <f t="shared" si="540"/>
        <v>1.3994972239113928</v>
      </c>
      <c r="F668">
        <f t="shared" si="541"/>
        <v>1.6559948030320473E-6</v>
      </c>
      <c r="G668">
        <f t="shared" si="542"/>
        <v>7.4686252558015703E-4</v>
      </c>
      <c r="H668">
        <f t="shared" si="564"/>
        <v>-3.14084578747442</v>
      </c>
      <c r="J668">
        <f t="shared" si="565"/>
        <v>15</v>
      </c>
      <c r="M668">
        <f t="shared" si="543"/>
        <v>8.6714036871393915E-5</v>
      </c>
      <c r="N668">
        <f t="shared" si="566"/>
        <v>-1.5707963250000001</v>
      </c>
      <c r="O668">
        <f t="shared" si="544"/>
        <v>1040.4959662201766</v>
      </c>
      <c r="P668">
        <f t="shared" si="567"/>
        <v>1.5698352465154808</v>
      </c>
      <c r="Q668">
        <f t="shared" si="545"/>
        <v>1094.8098067329213</v>
      </c>
      <c r="R668">
        <f t="shared" si="568"/>
        <v>1.5698829260079286</v>
      </c>
      <c r="S668">
        <f t="shared" si="546"/>
        <v>0.40032252272548036</v>
      </c>
      <c r="T668">
        <f t="shared" si="569"/>
        <v>-1.1589275525495699</v>
      </c>
      <c r="U668">
        <f t="shared" si="547"/>
        <v>1.8257487232794221E-2</v>
      </c>
      <c r="V668">
        <f t="shared" si="570"/>
        <v>-1.5525378250974502</v>
      </c>
      <c r="X668">
        <f t="shared" si="548"/>
        <v>-79.559186374102339</v>
      </c>
      <c r="Y668">
        <f t="shared" si="549"/>
        <v>-165.2348457281993</v>
      </c>
      <c r="Z668">
        <f t="shared" si="579"/>
        <v>14.765154271800697</v>
      </c>
      <c r="AC668">
        <v>1</v>
      </c>
      <c r="AD668">
        <f t="shared" si="550"/>
        <v>1040.49548568</v>
      </c>
      <c r="AE668">
        <f t="shared" si="551"/>
        <v>-60.146158651136638</v>
      </c>
      <c r="AF668">
        <f t="shared" si="552"/>
        <v>1.09830079044</v>
      </c>
      <c r="AG668">
        <f t="shared" si="553"/>
        <v>0.29917122486988523</v>
      </c>
      <c r="AH668">
        <f t="shared" si="554"/>
        <v>-17.293987330437627</v>
      </c>
      <c r="AJ668">
        <f t="shared" si="571"/>
        <v>10500</v>
      </c>
      <c r="AK668">
        <f t="shared" si="555"/>
        <v>24035.445719208001</v>
      </c>
      <c r="AL668">
        <v>43</v>
      </c>
      <c r="AM668">
        <f t="shared" si="556"/>
        <v>1094.8093500324962</v>
      </c>
      <c r="AN668">
        <f t="shared" si="557"/>
        <v>22.296293466319749</v>
      </c>
      <c r="AO668">
        <f t="shared" si="558"/>
        <v>-8.7149962508678307</v>
      </c>
      <c r="AQ668">
        <f t="shared" si="559"/>
        <v>2.9536861916538098E-5</v>
      </c>
      <c r="AR668">
        <f t="shared" si="560"/>
        <v>-0.54347825926430093</v>
      </c>
      <c r="AT668">
        <f t="shared" si="561"/>
        <v>-9.3988972935059572</v>
      </c>
      <c r="AU668">
        <f t="shared" si="562"/>
        <v>-0.16310386663001947</v>
      </c>
      <c r="AV668">
        <f t="shared" si="580"/>
        <v>-3.124240884345729</v>
      </c>
      <c r="AW668">
        <f t="shared" si="581"/>
        <v>17.787688949153971</v>
      </c>
      <c r="AX668">
        <f t="shared" si="582"/>
        <v>-38.320891302480462</v>
      </c>
      <c r="AY668">
        <f t="shared" si="590"/>
        <v>-1.1362152805876682</v>
      </c>
      <c r="BA668">
        <f t="shared" si="572"/>
        <v>0.22250319093144258</v>
      </c>
      <c r="BB668">
        <f t="shared" si="583"/>
        <v>-13.053275127909922</v>
      </c>
      <c r="BC668">
        <f t="shared" si="584"/>
        <v>-1.9880256037580608</v>
      </c>
      <c r="BD668">
        <f t="shared" si="573"/>
        <v>-293.90547678944017</v>
      </c>
      <c r="BF668">
        <f t="shared" si="574"/>
        <v>-89.782851802798703</v>
      </c>
      <c r="BG668">
        <f t="shared" si="575"/>
        <v>-213.67740025677605</v>
      </c>
      <c r="BH668">
        <f t="shared" si="585"/>
        <v>-33.677400256776053</v>
      </c>
      <c r="BI668">
        <f t="shared" si="586"/>
        <v>-33.677400256776053</v>
      </c>
      <c r="BJ668">
        <f t="shared" si="576"/>
        <v>0</v>
      </c>
      <c r="BK668">
        <f t="shared" si="587"/>
        <v>0</v>
      </c>
      <c r="BM668">
        <f t="shared" si="588"/>
        <v>-76.72957667488879</v>
      </c>
      <c r="BN668">
        <f t="shared" si="577"/>
        <v>-99.771923467335867</v>
      </c>
      <c r="BQ668" s="56">
        <f t="shared" si="589"/>
        <v>3.8486856723752143</v>
      </c>
    </row>
    <row r="669" spans="1:69" x14ac:dyDescent="0.2">
      <c r="A669">
        <f t="shared" si="563"/>
        <v>9300000</v>
      </c>
      <c r="B669">
        <f t="shared" si="578"/>
        <v>9300</v>
      </c>
      <c r="C669">
        <f t="shared" si="539"/>
        <v>5.9283120116923929</v>
      </c>
      <c r="D669">
        <f t="shared" si="540"/>
        <v>1.4013038909182953</v>
      </c>
      <c r="F669">
        <f t="shared" si="541"/>
        <v>1.6205734293065987E-6</v>
      </c>
      <c r="G669">
        <f t="shared" si="542"/>
        <v>7.388317219797979E-4</v>
      </c>
      <c r="H669">
        <f t="shared" si="564"/>
        <v>-3.1408538182780203</v>
      </c>
      <c r="J669">
        <f t="shared" si="565"/>
        <v>15</v>
      </c>
      <c r="M669">
        <f t="shared" si="543"/>
        <v>8.5781627872776771E-5</v>
      </c>
      <c r="N669">
        <f t="shared" si="566"/>
        <v>-1.5707963250000001</v>
      </c>
      <c r="O669">
        <f t="shared" si="544"/>
        <v>1051.8056945930805</v>
      </c>
      <c r="P669">
        <f t="shared" si="567"/>
        <v>1.5698455807057723</v>
      </c>
      <c r="Q669">
        <f t="shared" si="545"/>
        <v>1106.709903452954</v>
      </c>
      <c r="R669">
        <f t="shared" si="568"/>
        <v>1.569892747516392</v>
      </c>
      <c r="S669">
        <f t="shared" si="546"/>
        <v>0.39669848095913646</v>
      </c>
      <c r="T669">
        <f t="shared" si="569"/>
        <v>-1.1628789138878126</v>
      </c>
      <c r="U669">
        <f t="shared" si="547"/>
        <v>1.8061234553940726E-2</v>
      </c>
      <c r="V669">
        <f t="shared" si="570"/>
        <v>-1.5527341101430003</v>
      </c>
      <c r="X669">
        <f t="shared" si="548"/>
        <v>-79.73474812676001</v>
      </c>
      <c r="Y669">
        <f t="shared" si="549"/>
        <v>-165.36827926125534</v>
      </c>
      <c r="Z669">
        <f t="shared" si="579"/>
        <v>14.631720738744662</v>
      </c>
      <c r="AC669">
        <v>1</v>
      </c>
      <c r="AD669">
        <f t="shared" si="550"/>
        <v>1051.80521922</v>
      </c>
      <c r="AE669">
        <f t="shared" si="551"/>
        <v>-61.460789954357367</v>
      </c>
      <c r="AF669">
        <f t="shared" si="552"/>
        <v>1.11023884251</v>
      </c>
      <c r="AG669">
        <f t="shared" si="553"/>
        <v>0.2927741128266973</v>
      </c>
      <c r="AH669">
        <f t="shared" si="554"/>
        <v>-17.108146036012865</v>
      </c>
      <c r="AJ669">
        <f t="shared" si="571"/>
        <v>10500</v>
      </c>
      <c r="AK669">
        <f t="shared" si="555"/>
        <v>24296.700563982002</v>
      </c>
      <c r="AL669">
        <v>44</v>
      </c>
      <c r="AM669">
        <f t="shared" si="556"/>
        <v>1106.7094516632842</v>
      </c>
      <c r="AN669">
        <f t="shared" si="557"/>
        <v>22.295961486349157</v>
      </c>
      <c r="AO669">
        <f t="shared" si="558"/>
        <v>-8.6011533382085741</v>
      </c>
      <c r="AQ669">
        <f t="shared" si="559"/>
        <v>2.8905075647748077E-5</v>
      </c>
      <c r="AR669">
        <f t="shared" si="560"/>
        <v>-0.53763440704811416</v>
      </c>
      <c r="AT669">
        <f t="shared" si="561"/>
        <v>-9.1979194871064429</v>
      </c>
      <c r="AU669">
        <f t="shared" si="562"/>
        <v>-0.15789994880398275</v>
      </c>
      <c r="AV669">
        <f t="shared" si="580"/>
        <v>-3.1244274195862127</v>
      </c>
      <c r="AW669">
        <f t="shared" si="581"/>
        <v>17.894793037189366</v>
      </c>
      <c r="AX669">
        <f t="shared" si="582"/>
        <v>-37.888604404570088</v>
      </c>
      <c r="AY669">
        <f t="shared" si="590"/>
        <v>-1.1295531403602697</v>
      </c>
      <c r="BA669">
        <f t="shared" si="572"/>
        <v>0.21954309427292001</v>
      </c>
      <c r="BB669">
        <f t="shared" si="583"/>
        <v>-13.16960438151594</v>
      </c>
      <c r="BC669">
        <f t="shared" si="584"/>
        <v>-1.9948742792259431</v>
      </c>
      <c r="BD669">
        <f t="shared" si="573"/>
        <v>-294.29787698945302</v>
      </c>
      <c r="BF669">
        <f t="shared" si="574"/>
        <v>-89.9957838638216</v>
      </c>
      <c r="BG669">
        <f t="shared" si="575"/>
        <v>-213.96674619334249</v>
      </c>
      <c r="BH669">
        <f t="shared" si="585"/>
        <v>-33.966746193342487</v>
      </c>
      <c r="BI669">
        <f t="shared" si="586"/>
        <v>-33.966746193342487</v>
      </c>
      <c r="BJ669">
        <f t="shared" si="576"/>
        <v>0</v>
      </c>
      <c r="BK669">
        <f t="shared" si="587"/>
        <v>0</v>
      </c>
      <c r="BM669">
        <f t="shared" si="588"/>
        <v>-76.826179482305662</v>
      </c>
      <c r="BN669">
        <f t="shared" si="577"/>
        <v>-99.668869203889471</v>
      </c>
      <c r="BQ669" s="56">
        <f t="shared" si="589"/>
        <v>3.732356418769196</v>
      </c>
    </row>
    <row r="670" spans="1:69" x14ac:dyDescent="0.2">
      <c r="A670">
        <f t="shared" si="563"/>
        <v>9400000</v>
      </c>
      <c r="B670">
        <f t="shared" si="578"/>
        <v>9400</v>
      </c>
      <c r="C670">
        <f t="shared" si="539"/>
        <v>5.990252892448753</v>
      </c>
      <c r="D670">
        <f t="shared" si="540"/>
        <v>1.4030732007226578</v>
      </c>
      <c r="F670">
        <f t="shared" si="541"/>
        <v>1.5862765030221507E-6</v>
      </c>
      <c r="G670">
        <f t="shared" si="542"/>
        <v>7.3097178728723862E-4</v>
      </c>
      <c r="H670">
        <f t="shared" si="564"/>
        <v>-3.1408616782127128</v>
      </c>
      <c r="J670">
        <f t="shared" si="565"/>
        <v>15</v>
      </c>
      <c r="M670">
        <f t="shared" si="543"/>
        <v>8.4869057363491917E-5</v>
      </c>
      <c r="N670">
        <f t="shared" si="566"/>
        <v>-1.5707963250000001</v>
      </c>
      <c r="O670">
        <f t="shared" si="544"/>
        <v>1063.1154230759221</v>
      </c>
      <c r="P670">
        <f t="shared" si="567"/>
        <v>1.5698556950198712</v>
      </c>
      <c r="Q670">
        <f t="shared" si="545"/>
        <v>1118.6100002774708</v>
      </c>
      <c r="R670">
        <f t="shared" si="568"/>
        <v>1.569902360056759</v>
      </c>
      <c r="S670">
        <f t="shared" si="546"/>
        <v>0.39313349218151095</v>
      </c>
      <c r="T670">
        <f t="shared" si="569"/>
        <v>-1.1667593159379319</v>
      </c>
      <c r="U670">
        <f t="shared" si="547"/>
        <v>1.7869155442401578E-2</v>
      </c>
      <c r="V670">
        <f t="shared" si="570"/>
        <v>-1.5529262202589369</v>
      </c>
      <c r="X670">
        <f t="shared" si="548"/>
        <v>-79.908642529489256</v>
      </c>
      <c r="Y670">
        <f t="shared" si="549"/>
        <v>-165.49956311167611</v>
      </c>
      <c r="Z670">
        <f t="shared" si="579"/>
        <v>14.50043688832389</v>
      </c>
      <c r="AC670">
        <v>1</v>
      </c>
      <c r="AD670">
        <f t="shared" si="550"/>
        <v>1063.1149527600003</v>
      </c>
      <c r="AE670">
        <f t="shared" si="551"/>
        <v>-62.789633487883179</v>
      </c>
      <c r="AF670">
        <f t="shared" si="552"/>
        <v>1.1221768945799999</v>
      </c>
      <c r="AG670">
        <f t="shared" si="553"/>
        <v>0.28657998907702492</v>
      </c>
      <c r="AH670">
        <f t="shared" si="554"/>
        <v>-16.926255183873646</v>
      </c>
      <c r="AJ670">
        <f t="shared" si="571"/>
        <v>10500</v>
      </c>
      <c r="AK670">
        <f t="shared" si="555"/>
        <v>24557.955408756003</v>
      </c>
      <c r="AL670">
        <v>45</v>
      </c>
      <c r="AM670">
        <f t="shared" si="556"/>
        <v>1118.6095532940722</v>
      </c>
      <c r="AN670">
        <f t="shared" si="557"/>
        <v>22.295530651121435</v>
      </c>
      <c r="AO670">
        <f t="shared" si="558"/>
        <v>-8.4897371855387149</v>
      </c>
      <c r="AQ670">
        <f t="shared" si="559"/>
        <v>2.8293345325109367E-5</v>
      </c>
      <c r="AR670">
        <f t="shared" si="560"/>
        <v>-0.53191489211205611</v>
      </c>
      <c r="AT670">
        <f t="shared" si="561"/>
        <v>-9.0033190916846859</v>
      </c>
      <c r="AU670">
        <f t="shared" si="562"/>
        <v>-0.1529150643543582</v>
      </c>
      <c r="AV670">
        <f t="shared" si="580"/>
        <v>-3.1246099873395474</v>
      </c>
      <c r="AW670">
        <f t="shared" si="581"/>
        <v>17.998268813682852</v>
      </c>
      <c r="AX670">
        <f t="shared" si="582"/>
        <v>-37.465463768375898</v>
      </c>
      <c r="AY670">
        <f t="shared" si="590"/>
        <v>-1.1229543405197981</v>
      </c>
      <c r="BA670">
        <f t="shared" si="572"/>
        <v>0.21664259265778688</v>
      </c>
      <c r="BB670">
        <f t="shared" si="583"/>
        <v>-13.285123111391538</v>
      </c>
      <c r="BC670">
        <f t="shared" si="584"/>
        <v>-2.0016556468197493</v>
      </c>
      <c r="BD670">
        <f t="shared" si="573"/>
        <v>-294.68642073234889</v>
      </c>
      <c r="BF670">
        <f t="shared" si="574"/>
        <v>-90.206816955279393</v>
      </c>
      <c r="BG670">
        <f t="shared" si="575"/>
        <v>-214.25436629276703</v>
      </c>
      <c r="BH670">
        <f t="shared" si="585"/>
        <v>-34.254366292767031</v>
      </c>
      <c r="BI670">
        <f t="shared" si="586"/>
        <v>-34.254366292767031</v>
      </c>
      <c r="BJ670">
        <f t="shared" si="576"/>
        <v>0</v>
      </c>
      <c r="BK670">
        <f t="shared" si="587"/>
        <v>0</v>
      </c>
      <c r="BM670">
        <f t="shared" si="588"/>
        <v>-76.921693843887851</v>
      </c>
      <c r="BN670">
        <f t="shared" si="577"/>
        <v>-99.567945560418167</v>
      </c>
      <c r="BQ670" s="56">
        <f t="shared" si="589"/>
        <v>3.6168376888935967</v>
      </c>
    </row>
    <row r="671" spans="1:69" x14ac:dyDescent="0.2">
      <c r="A671">
        <f t="shared" si="563"/>
        <v>9500000</v>
      </c>
      <c r="B671">
        <f t="shared" si="578"/>
        <v>9500</v>
      </c>
      <c r="C671">
        <f t="shared" si="539"/>
        <v>6.0522121415650849</v>
      </c>
      <c r="D671">
        <f t="shared" si="540"/>
        <v>1.4048062894013902</v>
      </c>
      <c r="F671">
        <f t="shared" si="541"/>
        <v>1.5530569289965623E-6</v>
      </c>
      <c r="G671">
        <f t="shared" si="542"/>
        <v>7.2327732561131377E-4</v>
      </c>
      <c r="H671">
        <f t="shared" si="564"/>
        <v>-3.140869372674389</v>
      </c>
      <c r="J671">
        <f t="shared" si="565"/>
        <v>15</v>
      </c>
      <c r="M671">
        <f t="shared" si="543"/>
        <v>8.3975698864928854E-5</v>
      </c>
      <c r="N671">
        <f t="shared" si="566"/>
        <v>-1.5707963250000001</v>
      </c>
      <c r="O671">
        <f t="shared" si="544"/>
        <v>1074.4251516652303</v>
      </c>
      <c r="P671">
        <f t="shared" si="567"/>
        <v>1.5698655964012282</v>
      </c>
      <c r="Q671">
        <f t="shared" si="545"/>
        <v>1130.5100972031721</v>
      </c>
      <c r="R671">
        <f t="shared" si="568"/>
        <v>1.5699117702280152</v>
      </c>
      <c r="S671">
        <f t="shared" si="546"/>
        <v>0.38962629637283586</v>
      </c>
      <c r="T671">
        <f t="shared" si="569"/>
        <v>-1.1705705393676007</v>
      </c>
      <c r="U671">
        <f t="shared" si="547"/>
        <v>1.7681118185060147E-2</v>
      </c>
      <c r="V671">
        <f t="shared" si="570"/>
        <v>-1.5531142872292987</v>
      </c>
      <c r="X671">
        <f t="shared" si="548"/>
        <v>-80.080899934759117</v>
      </c>
      <c r="Y671">
        <f t="shared" si="549"/>
        <v>-165.62874129569846</v>
      </c>
      <c r="Z671">
        <f t="shared" si="579"/>
        <v>14.371258704301539</v>
      </c>
      <c r="AC671">
        <v>1</v>
      </c>
      <c r="AD671">
        <f t="shared" si="550"/>
        <v>1074.4246863000001</v>
      </c>
      <c r="AE671">
        <f t="shared" si="551"/>
        <v>-64.132689251714098</v>
      </c>
      <c r="AF671">
        <f t="shared" si="552"/>
        <v>1.13411494665</v>
      </c>
      <c r="AG671">
        <f t="shared" si="553"/>
        <v>0.28058035636785839</v>
      </c>
      <c r="AH671">
        <f t="shared" si="554"/>
        <v>-16.748190173475361</v>
      </c>
      <c r="AJ671">
        <f t="shared" si="571"/>
        <v>10500</v>
      </c>
      <c r="AK671">
        <f t="shared" si="555"/>
        <v>24819.210253530004</v>
      </c>
      <c r="AL671">
        <v>46</v>
      </c>
      <c r="AM671">
        <f t="shared" si="556"/>
        <v>1130.5096549248601</v>
      </c>
      <c r="AN671">
        <f t="shared" si="557"/>
        <v>22.295007403979696</v>
      </c>
      <c r="AO671">
        <f t="shared" si="558"/>
        <v>-8.3806711584844056</v>
      </c>
      <c r="AQ671">
        <f t="shared" si="559"/>
        <v>2.7700830948197144E-5</v>
      </c>
      <c r="AR671">
        <f t="shared" si="560"/>
        <v>-0.52631578801574574</v>
      </c>
      <c r="AT671">
        <f t="shared" si="561"/>
        <v>-8.8148291366812348</v>
      </c>
      <c r="AU671">
        <f t="shared" si="562"/>
        <v>-0.14813781014817184</v>
      </c>
      <c r="AV671">
        <f t="shared" si="580"/>
        <v>-3.1247887128389649</v>
      </c>
      <c r="AW671">
        <f t="shared" si="581"/>
        <v>18.098273039089577</v>
      </c>
      <c r="AX671">
        <f t="shared" si="582"/>
        <v>-37.051184111967792</v>
      </c>
      <c r="AY671">
        <f t="shared" si="590"/>
        <v>-1.1164177808546236</v>
      </c>
      <c r="BA671">
        <f t="shared" si="572"/>
        <v>0.21379996105250246</v>
      </c>
      <c r="BB671">
        <f t="shared" si="583"/>
        <v>-13.399847564835257</v>
      </c>
      <c r="BC671">
        <f t="shared" si="584"/>
        <v>-2.0083709319843415</v>
      </c>
      <c r="BD671">
        <f t="shared" si="573"/>
        <v>-295.07117823094649</v>
      </c>
      <c r="BF671">
        <f t="shared" si="574"/>
        <v>-90.415992023213846</v>
      </c>
      <c r="BG671">
        <f t="shared" si="575"/>
        <v>-214.54026598461809</v>
      </c>
      <c r="BH671">
        <f t="shared" si="585"/>
        <v>-34.540265984618088</v>
      </c>
      <c r="BI671">
        <f t="shared" si="586"/>
        <v>-34.540265984618088</v>
      </c>
      <c r="BJ671">
        <f t="shared" si="576"/>
        <v>0</v>
      </c>
      <c r="BK671">
        <f t="shared" si="587"/>
        <v>0</v>
      </c>
      <c r="BM671">
        <f t="shared" si="588"/>
        <v>-77.016144458378591</v>
      </c>
      <c r="BN671">
        <f t="shared" si="577"/>
        <v>-99.469087753671616</v>
      </c>
      <c r="BQ671" s="56">
        <f t="shared" si="589"/>
        <v>3.5021132354498801</v>
      </c>
    </row>
    <row r="672" spans="1:69" x14ac:dyDescent="0.2">
      <c r="A672">
        <f t="shared" si="563"/>
        <v>9600000</v>
      </c>
      <c r="B672">
        <f t="shared" si="578"/>
        <v>9600</v>
      </c>
      <c r="C672">
        <f t="shared" si="539"/>
        <v>6.1141892006240557</v>
      </c>
      <c r="D672">
        <f t="shared" si="540"/>
        <v>1.4065042478585854</v>
      </c>
      <c r="F672">
        <f t="shared" si="541"/>
        <v>1.5208700520844756E-6</v>
      </c>
      <c r="G672">
        <f t="shared" si="542"/>
        <v>7.1574316589124109E-4</v>
      </c>
      <c r="H672">
        <f t="shared" si="564"/>
        <v>-3.1408769068341091</v>
      </c>
      <c r="J672">
        <f t="shared" si="565"/>
        <v>15</v>
      </c>
      <c r="M672">
        <f t="shared" si="543"/>
        <v>8.3100952001752509E-5</v>
      </c>
      <c r="N672">
        <f t="shared" si="566"/>
        <v>-1.5707963250000001</v>
      </c>
      <c r="O672">
        <f t="shared" si="544"/>
        <v>1085.7348803576779</v>
      </c>
      <c r="P672">
        <f t="shared" si="567"/>
        <v>1.569875291503984</v>
      </c>
      <c r="Q672">
        <f t="shared" si="545"/>
        <v>1142.4101942268965</v>
      </c>
      <c r="R672">
        <f t="shared" si="568"/>
        <v>1.5699209843541888</v>
      </c>
      <c r="S672">
        <f t="shared" si="546"/>
        <v>0.38617566216393517</v>
      </c>
      <c r="T672">
        <f t="shared" si="569"/>
        <v>-1.1743143099591964</v>
      </c>
      <c r="U672">
        <f t="shared" si="547"/>
        <v>1.7496996552554607E-2</v>
      </c>
      <c r="V672">
        <f t="shared" si="570"/>
        <v>-1.5532984373499843</v>
      </c>
      <c r="X672">
        <f t="shared" si="548"/>
        <v>-80.251549877596545</v>
      </c>
      <c r="Y672">
        <f t="shared" si="549"/>
        <v>-165.75585697807625</v>
      </c>
      <c r="Z672">
        <f t="shared" si="579"/>
        <v>14.244143021923747</v>
      </c>
      <c r="AC672">
        <v>1</v>
      </c>
      <c r="AD672">
        <f t="shared" si="550"/>
        <v>1085.7344198400001</v>
      </c>
      <c r="AE672">
        <f t="shared" si="551"/>
        <v>-65.489957245850093</v>
      </c>
      <c r="AF672">
        <f t="shared" si="552"/>
        <v>1.1460529987199999</v>
      </c>
      <c r="AG672">
        <f t="shared" si="553"/>
        <v>0.27476715742015201</v>
      </c>
      <c r="AH672">
        <f t="shared" si="554"/>
        <v>-16.573831588263388</v>
      </c>
      <c r="AJ672">
        <f t="shared" si="571"/>
        <v>10500</v>
      </c>
      <c r="AK672">
        <f t="shared" si="555"/>
        <v>25080.465098304005</v>
      </c>
      <c r="AL672">
        <v>47</v>
      </c>
      <c r="AM672">
        <f t="shared" si="556"/>
        <v>1142.4097565556481</v>
      </c>
      <c r="AN672">
        <f t="shared" si="557"/>
        <v>22.294397782595148</v>
      </c>
      <c r="AO672">
        <f t="shared" si="558"/>
        <v>-8.2738818098999687</v>
      </c>
      <c r="AQ672">
        <f t="shared" si="559"/>
        <v>2.7126736037525129E-5</v>
      </c>
      <c r="AR672">
        <f t="shared" si="560"/>
        <v>-0.52083333192048253</v>
      </c>
      <c r="AT672">
        <f t="shared" si="561"/>
        <v>-8.632196475268012</v>
      </c>
      <c r="AU672">
        <f t="shared" si="562"/>
        <v>-0.1435574880560827</v>
      </c>
      <c r="AV672">
        <f t="shared" si="580"/>
        <v>-3.1249637161025072</v>
      </c>
      <c r="AW672">
        <f t="shared" si="581"/>
        <v>18.194954205595913</v>
      </c>
      <c r="AX672">
        <f t="shared" si="582"/>
        <v>-36.645491814438977</v>
      </c>
      <c r="AY672">
        <f t="shared" si="590"/>
        <v>-1.1099424011117915</v>
      </c>
      <c r="BA672">
        <f t="shared" si="572"/>
        <v>0.21101354239384243</v>
      </c>
      <c r="BB672">
        <f t="shared" si="583"/>
        <v>-13.513793434502437</v>
      </c>
      <c r="BC672">
        <f t="shared" si="584"/>
        <v>-2.0150213149907157</v>
      </c>
      <c r="BD672">
        <f t="shared" si="573"/>
        <v>-295.45221710979263</v>
      </c>
      <c r="BF672">
        <f t="shared" si="574"/>
        <v>-90.623348617716005</v>
      </c>
      <c r="BG672">
        <f t="shared" si="575"/>
        <v>-214.8244506855219</v>
      </c>
      <c r="BH672">
        <f t="shared" si="585"/>
        <v>-34.824450685521896</v>
      </c>
      <c r="BI672">
        <f t="shared" si="586"/>
        <v>-34.824450685521896</v>
      </c>
      <c r="BJ672">
        <f t="shared" si="576"/>
        <v>0</v>
      </c>
      <c r="BK672">
        <f t="shared" si="587"/>
        <v>0</v>
      </c>
      <c r="BM672">
        <f t="shared" si="588"/>
        <v>-77.109555183213544</v>
      </c>
      <c r="BN672">
        <f t="shared" si="577"/>
        <v>-99.372233575729254</v>
      </c>
      <c r="BQ672" s="56">
        <f t="shared" si="589"/>
        <v>3.3881673657826989</v>
      </c>
    </row>
    <row r="673" spans="1:69" x14ac:dyDescent="0.2">
      <c r="A673">
        <f t="shared" si="563"/>
        <v>9700000</v>
      </c>
      <c r="B673">
        <f t="shared" si="578"/>
        <v>9700</v>
      </c>
      <c r="C673">
        <f t="shared" si="539"/>
        <v>6.1761835334655215</v>
      </c>
      <c r="D673">
        <f t="shared" si="540"/>
        <v>1.4081681240271908</v>
      </c>
      <c r="F673">
        <f t="shared" si="541"/>
        <v>1.489673507030258E-6</v>
      </c>
      <c r="G673">
        <f t="shared" si="542"/>
        <v>7.0836435030733062E-4</v>
      </c>
      <c r="H673">
        <f t="shared" si="564"/>
        <v>-3.140884285649693</v>
      </c>
      <c r="J673">
        <f t="shared" si="565"/>
        <v>15</v>
      </c>
      <c r="M673">
        <f t="shared" si="543"/>
        <v>8.2244241156373605E-5</v>
      </c>
      <c r="N673">
        <f t="shared" si="566"/>
        <v>-1.5707963250000001</v>
      </c>
      <c r="O673">
        <f t="shared" si="544"/>
        <v>1097.0446091500748</v>
      </c>
      <c r="P673">
        <f t="shared" si="567"/>
        <v>1.5698847867078813</v>
      </c>
      <c r="Q673">
        <f t="shared" si="545"/>
        <v>1154.3102913456114</v>
      </c>
      <c r="R673">
        <f t="shared" si="568"/>
        <v>1.5699300084985235</v>
      </c>
      <c r="S673">
        <f t="shared" si="546"/>
        <v>0.38278038641119749</v>
      </c>
      <c r="T673">
        <f t="shared" si="569"/>
        <v>-1.1779923005117432</v>
      </c>
      <c r="U673">
        <f t="shared" si="547"/>
        <v>1.7316669516871375E-2</v>
      </c>
      <c r="V673">
        <f t="shared" si="570"/>
        <v>-1.553478791711473</v>
      </c>
      <c r="X673">
        <f t="shared" si="548"/>
        <v>-80.42062110570302</v>
      </c>
      <c r="Y673">
        <f t="shared" si="549"/>
        <v>-165.88095247010344</v>
      </c>
      <c r="Z673">
        <f t="shared" si="579"/>
        <v>14.119047529896562</v>
      </c>
      <c r="AC673">
        <v>1</v>
      </c>
      <c r="AD673">
        <f t="shared" si="550"/>
        <v>1097.0441533800001</v>
      </c>
      <c r="AE673">
        <f t="shared" si="551"/>
        <v>-66.861437470291179</v>
      </c>
      <c r="AF673">
        <f t="shared" si="552"/>
        <v>1.15799105079</v>
      </c>
      <c r="AG673">
        <f t="shared" si="553"/>
        <v>0.26913274787456964</v>
      </c>
      <c r="AH673">
        <f t="shared" si="554"/>
        <v>-16.403064928925623</v>
      </c>
      <c r="AJ673">
        <f t="shared" si="571"/>
        <v>10500</v>
      </c>
      <c r="AK673">
        <f t="shared" si="555"/>
        <v>25341.719943078002</v>
      </c>
      <c r="AL673">
        <v>48</v>
      </c>
      <c r="AM673">
        <f t="shared" si="556"/>
        <v>1154.309858186436</v>
      </c>
      <c r="AN673">
        <f t="shared" si="557"/>
        <v>22.293707446876901</v>
      </c>
      <c r="AO673">
        <f t="shared" si="558"/>
        <v>-8.1692987161744028</v>
      </c>
      <c r="AQ673">
        <f t="shared" si="559"/>
        <v>2.65703049565036E-5</v>
      </c>
      <c r="AR673">
        <f t="shared" si="560"/>
        <v>-0.51546391615616982</v>
      </c>
      <c r="AT673">
        <f t="shared" si="561"/>
        <v>-8.4551809342887427</v>
      </c>
      <c r="AU673">
        <f t="shared" si="562"/>
        <v>-0.13916405462267964</v>
      </c>
      <c r="AV673">
        <f t="shared" si="580"/>
        <v>-3.1251351122016775</v>
      </c>
      <c r="AW673">
        <f t="shared" si="581"/>
        <v>18.288453051608265</v>
      </c>
      <c r="AX673">
        <f t="shared" si="582"/>
        <v>-36.248124330349981</v>
      </c>
      <c r="AY673">
        <f t="shared" si="590"/>
        <v>-1.1035271788202314</v>
      </c>
      <c r="BA673">
        <f t="shared" si="572"/>
        <v>0.20828174420632611</v>
      </c>
      <c r="BB673">
        <f t="shared" si="583"/>
        <v>-13.626975881688864</v>
      </c>
      <c r="BC673">
        <f t="shared" si="584"/>
        <v>-2.0216079333814463</v>
      </c>
      <c r="BD673">
        <f t="shared" si="573"/>
        <v>-295.82960254527597</v>
      </c>
      <c r="BF673">
        <f t="shared" si="574"/>
        <v>-90.828924954238857</v>
      </c>
      <c r="BG673">
        <f t="shared" si="575"/>
        <v>-215.10692581379402</v>
      </c>
      <c r="BH673">
        <f t="shared" si="585"/>
        <v>-35.106925813794021</v>
      </c>
      <c r="BI673">
        <f t="shared" si="586"/>
        <v>-35.106925813794021</v>
      </c>
      <c r="BJ673">
        <f t="shared" si="576"/>
        <v>0</v>
      </c>
      <c r="BK673">
        <f t="shared" si="587"/>
        <v>0</v>
      </c>
      <c r="BM673">
        <f t="shared" si="588"/>
        <v>-77.201949072550008</v>
      </c>
      <c r="BN673">
        <f t="shared" si="577"/>
        <v>-99.277323268518074</v>
      </c>
      <c r="BQ673" s="56">
        <f t="shared" si="589"/>
        <v>3.2749849185962745</v>
      </c>
    </row>
    <row r="674" spans="1:69" x14ac:dyDescent="0.2">
      <c r="A674">
        <f t="shared" si="563"/>
        <v>9800000</v>
      </c>
      <c r="B674">
        <f t="shared" si="578"/>
        <v>9800</v>
      </c>
      <c r="C674">
        <f t="shared" si="539"/>
        <v>6.2381946250959741</v>
      </c>
      <c r="D674">
        <f t="shared" si="540"/>
        <v>1.4097989249444254</v>
      </c>
      <c r="F674">
        <f t="shared" si="541"/>
        <v>1.4594270789905757E-6</v>
      </c>
      <c r="G674">
        <f t="shared" si="542"/>
        <v>7.0113612340124884E-4</v>
      </c>
      <c r="H674">
        <f t="shared" si="564"/>
        <v>-3.1408915138765989</v>
      </c>
      <c r="J674">
        <f t="shared" si="565"/>
        <v>15</v>
      </c>
      <c r="M674">
        <f t="shared" si="543"/>
        <v>8.1405014205798373E-5</v>
      </c>
      <c r="N674">
        <f t="shared" si="566"/>
        <v>-1.5707963250000001</v>
      </c>
      <c r="O674">
        <f t="shared" si="544"/>
        <v>1108.3543380393619</v>
      </c>
      <c r="P674">
        <f t="shared" si="567"/>
        <v>1.5698940881322669</v>
      </c>
      <c r="Q674">
        <f t="shared" si="545"/>
        <v>1166.2103885564093</v>
      </c>
      <c r="R674">
        <f t="shared" si="568"/>
        <v>1.569938848476784</v>
      </c>
      <c r="S674">
        <f t="shared" si="546"/>
        <v>0.37943929374813856</v>
      </c>
      <c r="T674">
        <f t="shared" si="569"/>
        <v>-1.1816061326756733</v>
      </c>
      <c r="U674">
        <f t="shared" si="547"/>
        <v>1.7140020986210411E-2</v>
      </c>
      <c r="V674">
        <f t="shared" si="570"/>
        <v>-1.5536554664642459</v>
      </c>
      <c r="X674">
        <f t="shared" si="548"/>
        <v>-80.588141608090368</v>
      </c>
      <c r="Y674">
        <f t="shared" si="549"/>
        <v>-166.00406923009177</v>
      </c>
      <c r="Z674">
        <f t="shared" si="579"/>
        <v>13.995930769908227</v>
      </c>
      <c r="AC674">
        <v>1</v>
      </c>
      <c r="AD674">
        <f t="shared" si="550"/>
        <v>1108.3538869200001</v>
      </c>
      <c r="AE674">
        <f t="shared" si="551"/>
        <v>-68.247129925037356</v>
      </c>
      <c r="AF674">
        <f t="shared" si="552"/>
        <v>1.1699291028599998</v>
      </c>
      <c r="AG674">
        <f t="shared" si="553"/>
        <v>0.26366987115818719</v>
      </c>
      <c r="AH674">
        <f t="shared" si="554"/>
        <v>-16.235780362943643</v>
      </c>
      <c r="AJ674">
        <f t="shared" si="571"/>
        <v>10500</v>
      </c>
      <c r="AK674">
        <f t="shared" si="555"/>
        <v>25602.974787852003</v>
      </c>
      <c r="AL674">
        <v>49</v>
      </c>
      <c r="AM674">
        <f t="shared" si="556"/>
        <v>1166.209959817224</v>
      </c>
      <c r="AN674">
        <f t="shared" si="557"/>
        <v>22.292941704749637</v>
      </c>
      <c r="AO674">
        <f t="shared" si="558"/>
        <v>-8.0668543235059449</v>
      </c>
      <c r="AQ674">
        <f t="shared" si="559"/>
        <v>2.603082042370153E-5</v>
      </c>
      <c r="AR674">
        <f t="shared" si="560"/>
        <v>-0.51020408030455</v>
      </c>
      <c r="AT674">
        <f t="shared" si="561"/>
        <v>-8.2835545245592677</v>
      </c>
      <c r="AU674">
        <f t="shared" si="562"/>
        <v>-0.13494807480134854</v>
      </c>
      <c r="AV674">
        <f t="shared" si="580"/>
        <v>-3.1253030115136529</v>
      </c>
      <c r="AW674">
        <f t="shared" si="581"/>
        <v>18.378903039420283</v>
      </c>
      <c r="AX674">
        <f t="shared" si="582"/>
        <v>-35.858829638841783</v>
      </c>
      <c r="AY674">
        <f t="shared" si="590"/>
        <v>-1.0971711272517468</v>
      </c>
      <c r="BA674">
        <f t="shared" si="572"/>
        <v>0.20560303541943356</v>
      </c>
      <c r="BB674">
        <f t="shared" si="583"/>
        <v>-13.739409558498359</v>
      </c>
      <c r="BC674">
        <f t="shared" si="584"/>
        <v>-2.028131884261906</v>
      </c>
      <c r="BD674">
        <f t="shared" si="573"/>
        <v>-296.20339739690411</v>
      </c>
      <c r="BF674">
        <f t="shared" si="574"/>
        <v>-91.032757971664822</v>
      </c>
      <c r="BG674">
        <f t="shared" si="575"/>
        <v>-215.38769680242734</v>
      </c>
      <c r="BH674">
        <f t="shared" si="585"/>
        <v>-35.387696802427342</v>
      </c>
      <c r="BI674">
        <f t="shared" si="586"/>
        <v>-35.387696802427342</v>
      </c>
      <c r="BJ674">
        <f t="shared" si="576"/>
        <v>0</v>
      </c>
      <c r="BK674">
        <f t="shared" si="587"/>
        <v>0</v>
      </c>
      <c r="BM674">
        <f t="shared" si="588"/>
        <v>-77.29334841316647</v>
      </c>
      <c r="BN674">
        <f t="shared" si="577"/>
        <v>-99.184299405523248</v>
      </c>
      <c r="BQ674" s="56">
        <f t="shared" si="589"/>
        <v>3.1625512417867769</v>
      </c>
    </row>
    <row r="675" spans="1:69" x14ac:dyDescent="0.2">
      <c r="A675">
        <f t="shared" si="563"/>
        <v>9900000</v>
      </c>
      <c r="B675">
        <f t="shared" si="578"/>
        <v>9900</v>
      </c>
      <c r="C675">
        <f t="shared" si="539"/>
        <v>6.3002219806610622</v>
      </c>
      <c r="D675">
        <f t="shared" si="540"/>
        <v>1.411397618709223</v>
      </c>
      <c r="F675">
        <f t="shared" si="541"/>
        <v>1.4300925738687904E-6</v>
      </c>
      <c r="G675">
        <f t="shared" si="542"/>
        <v>6.9405392185566573E-4</v>
      </c>
      <c r="H675">
        <f t="shared" si="564"/>
        <v>-3.1408985960781446</v>
      </c>
      <c r="J675">
        <f t="shared" si="565"/>
        <v>15</v>
      </c>
      <c r="M675">
        <f t="shared" si="543"/>
        <v>8.0582741335032731E-5</v>
      </c>
      <c r="N675">
        <f t="shared" si="566"/>
        <v>-1.5707963250000001</v>
      </c>
      <c r="O675">
        <f t="shared" si="544"/>
        <v>1119.6640670226025</v>
      </c>
      <c r="P675">
        <f t="shared" si="567"/>
        <v>1.5699032016492405</v>
      </c>
      <c r="Q675">
        <f t="shared" si="545"/>
        <v>1178.1104858565</v>
      </c>
      <c r="R675">
        <f t="shared" si="568"/>
        <v>1.5699475098697551</v>
      </c>
      <c r="S675">
        <f t="shared" si="546"/>
        <v>0.37615123611752921</v>
      </c>
      <c r="T675">
        <f t="shared" si="569"/>
        <v>-1.1851573787223471</v>
      </c>
      <c r="U675">
        <f t="shared" si="547"/>
        <v>1.6966939555902567E-2</v>
      </c>
      <c r="V675">
        <f t="shared" si="570"/>
        <v>-1.5538285730681345</v>
      </c>
      <c r="X675">
        <f t="shared" si="548"/>
        <v>-80.754138642331128</v>
      </c>
      <c r="Y675">
        <f t="shared" si="549"/>
        <v>-166.12524786600619</v>
      </c>
      <c r="Z675">
        <f t="shared" si="579"/>
        <v>13.874752133993809</v>
      </c>
      <c r="AC675">
        <v>1</v>
      </c>
      <c r="AD675">
        <f t="shared" si="550"/>
        <v>1119.6636204600002</v>
      </c>
      <c r="AE675">
        <f t="shared" si="551"/>
        <v>-69.647034610088625</v>
      </c>
      <c r="AF675">
        <f t="shared" si="552"/>
        <v>1.1818671549299999</v>
      </c>
      <c r="AG675">
        <f t="shared" si="553"/>
        <v>0.25837163511784755</v>
      </c>
      <c r="AH675">
        <f t="shared" si="554"/>
        <v>-16.071872489292545</v>
      </c>
      <c r="AJ675">
        <f t="shared" si="571"/>
        <v>10500</v>
      </c>
      <c r="AK675">
        <f t="shared" si="555"/>
        <v>25864.229632626004</v>
      </c>
      <c r="AL675">
        <v>50</v>
      </c>
      <c r="AM675">
        <f t="shared" si="556"/>
        <v>1178.1100614480119</v>
      </c>
      <c r="AN675">
        <f t="shared" si="557"/>
        <v>22.292105535979392</v>
      </c>
      <c r="AO675">
        <f t="shared" si="558"/>
        <v>-7.9664838034448708</v>
      </c>
      <c r="AQ675">
        <f t="shared" si="559"/>
        <v>2.550760120011325E-5</v>
      </c>
      <c r="AR675">
        <f t="shared" si="560"/>
        <v>-0.50505050376224236</v>
      </c>
      <c r="AT675">
        <f t="shared" si="561"/>
        <v>-8.1171007066790928</v>
      </c>
      <c r="AU675">
        <f t="shared" si="562"/>
        <v>-0.13090067938813912</v>
      </c>
      <c r="AV675">
        <f t="shared" si="580"/>
        <v>-3.1254675199582249</v>
      </c>
      <c r="AW675">
        <f t="shared" si="581"/>
        <v>18.466430799031873</v>
      </c>
      <c r="AX675">
        <f t="shared" si="582"/>
        <v>-35.47736572506598</v>
      </c>
      <c r="AY675">
        <f t="shared" si="590"/>
        <v>-1.0908732935101513</v>
      </c>
      <c r="BA675">
        <f t="shared" si="572"/>
        <v>0.20297594337110711</v>
      </c>
      <c r="BB675">
        <f t="shared" si="583"/>
        <v>-13.851108628955767</v>
      </c>
      <c r="BC675">
        <f t="shared" si="584"/>
        <v>-2.0345942264480739</v>
      </c>
      <c r="BD675">
        <f t="shared" si="573"/>
        <v>-296.57366233036396</v>
      </c>
      <c r="BF675">
        <f t="shared" si="574"/>
        <v>-91.234883387330257</v>
      </c>
      <c r="BG675">
        <f t="shared" si="575"/>
        <v>-215.66676911058443</v>
      </c>
      <c r="BH675">
        <f t="shared" si="585"/>
        <v>-35.666769110584426</v>
      </c>
      <c r="BI675">
        <f t="shared" si="586"/>
        <v>-35.666769110584426</v>
      </c>
      <c r="BJ675">
        <f t="shared" si="576"/>
        <v>0</v>
      </c>
      <c r="BK675">
        <f t="shared" si="587"/>
        <v>0</v>
      </c>
      <c r="BM675">
        <f t="shared" si="588"/>
        <v>-77.383774758374486</v>
      </c>
      <c r="BN675">
        <f t="shared" si="577"/>
        <v>-99.093106780220509</v>
      </c>
      <c r="BQ675" s="56">
        <f t="shared" si="589"/>
        <v>3.0508521713293693</v>
      </c>
    </row>
    <row r="676" spans="1:69" x14ac:dyDescent="0.2">
      <c r="A676">
        <f t="shared" si="563"/>
        <v>10000000</v>
      </c>
      <c r="B676">
        <f t="shared" si="578"/>
        <v>10000</v>
      </c>
      <c r="C676">
        <f t="shared" si="539"/>
        <v>6.3622651244769814</v>
      </c>
      <c r="D676">
        <f t="shared" si="540"/>
        <v>1.4129651363293696</v>
      </c>
      <c r="F676">
        <f t="shared" si="541"/>
        <v>1.4016336976802068E-6</v>
      </c>
      <c r="G676">
        <f t="shared" si="542"/>
        <v>6.8711336488712946E-4</v>
      </c>
      <c r="H676">
        <f t="shared" si="564"/>
        <v>-3.1409055366351133</v>
      </c>
      <c r="J676">
        <f t="shared" si="565"/>
        <v>15</v>
      </c>
      <c r="M676">
        <f t="shared" si="543"/>
        <v>7.9776913921682409E-5</v>
      </c>
      <c r="N676">
        <f t="shared" si="566"/>
        <v>-1.5707963250000001</v>
      </c>
      <c r="O676">
        <f t="shared" si="544"/>
        <v>1130.9737960969783</v>
      </c>
      <c r="P676">
        <f t="shared" si="567"/>
        <v>1.5699121328960186</v>
      </c>
      <c r="Q676">
        <f t="shared" si="545"/>
        <v>1190.0105832432046</v>
      </c>
      <c r="R676">
        <f t="shared" si="568"/>
        <v>1.5699559980349904</v>
      </c>
      <c r="S676">
        <f t="shared" si="546"/>
        <v>0.37291509228765501</v>
      </c>
      <c r="T676">
        <f t="shared" si="569"/>
        <v>-1.1886475632502842</v>
      </c>
      <c r="U676">
        <f t="shared" si="547"/>
        <v>1.679731827425663E-2</v>
      </c>
      <c r="V676">
        <f t="shared" si="570"/>
        <v>-1.5539982185267172</v>
      </c>
      <c r="X676">
        <f t="shared" si="548"/>
        <v>-80.918638760510376</v>
      </c>
      <c r="Y676">
        <f t="shared" si="549"/>
        <v>-166.24452813999054</v>
      </c>
      <c r="Z676">
        <f t="shared" si="579"/>
        <v>13.755471860009465</v>
      </c>
      <c r="AC676">
        <v>1</v>
      </c>
      <c r="AD676">
        <f t="shared" si="550"/>
        <v>1130.973354</v>
      </c>
      <c r="AE676">
        <f t="shared" si="551"/>
        <v>-71.061151525444984</v>
      </c>
      <c r="AF676">
        <f t="shared" si="552"/>
        <v>1.1938052069999998</v>
      </c>
      <c r="AG676">
        <f t="shared" si="553"/>
        <v>0.25323149027967551</v>
      </c>
      <c r="AH676">
        <f t="shared" si="554"/>
        <v>-15.911240117231516</v>
      </c>
      <c r="AJ676">
        <f t="shared" si="571"/>
        <v>10500</v>
      </c>
      <c r="AK676">
        <f t="shared" si="555"/>
        <v>26125.484477400001</v>
      </c>
      <c r="AL676">
        <v>51</v>
      </c>
      <c r="AM676">
        <f t="shared" si="556"/>
        <v>1190.0101630788001</v>
      </c>
      <c r="AN676">
        <f t="shared" si="557"/>
        <v>22.291203614211085</v>
      </c>
      <c r="AO676">
        <f t="shared" si="558"/>
        <v>-7.8681249170602463</v>
      </c>
      <c r="AQ676">
        <f t="shared" si="559"/>
        <v>2.4999999937500001E-5</v>
      </c>
      <c r="AR676">
        <f t="shared" si="560"/>
        <v>-0.49999999875000001</v>
      </c>
      <c r="AT676">
        <f t="shared" si="561"/>
        <v>-7.9556137079394667</v>
      </c>
      <c r="AU676">
        <f t="shared" si="562"/>
        <v>-0.12701352582523473</v>
      </c>
      <c r="AV676">
        <f t="shared" si="580"/>
        <v>-3.1256287392205331</v>
      </c>
      <c r="AW676">
        <f t="shared" si="581"/>
        <v>18.551156540826575</v>
      </c>
      <c r="AX676">
        <f t="shared" si="582"/>
        <v>-35.103500091758868</v>
      </c>
      <c r="AY676">
        <f t="shared" si="590"/>
        <v>-1.0846327567396608</v>
      </c>
      <c r="BA676">
        <f t="shared" si="572"/>
        <v>0.20039905098506339</v>
      </c>
      <c r="BB676">
        <f t="shared" si="583"/>
        <v>-13.962086789122397</v>
      </c>
      <c r="BC676">
        <f t="shared" si="584"/>
        <v>-2.0409959824808723</v>
      </c>
      <c r="BD676">
        <f t="shared" si="573"/>
        <v>-296.94045593293481</v>
      </c>
      <c r="BF676">
        <f t="shared" si="574"/>
        <v>-91.435335749195218</v>
      </c>
      <c r="BG676">
        <f t="shared" si="575"/>
        <v>-215.94414823372813</v>
      </c>
      <c r="BH676">
        <f t="shared" si="585"/>
        <v>-35.944148233728129</v>
      </c>
      <c r="BI676">
        <f t="shared" si="586"/>
        <v>-35.944148233728129</v>
      </c>
      <c r="BJ676">
        <f t="shared" si="576"/>
        <v>0</v>
      </c>
      <c r="BK676">
        <f t="shared" si="587"/>
        <v>0</v>
      </c>
      <c r="BM676">
        <f t="shared" si="588"/>
        <v>-77.473248960072823</v>
      </c>
      <c r="BN676">
        <f t="shared" si="577"/>
        <v>-99.003692300793304</v>
      </c>
      <c r="BQ676" s="56">
        <f t="shared" si="589"/>
        <v>2.9398740111627415</v>
      </c>
    </row>
    <row r="677" spans="1:69" x14ac:dyDescent="0.2">
      <c r="BD677">
        <f t="shared" si="573"/>
        <v>-180</v>
      </c>
    </row>
    <row r="678" spans="1:69" x14ac:dyDescent="0.2">
      <c r="BD678">
        <f t="shared" si="573"/>
        <v>-180</v>
      </c>
    </row>
    <row r="679" spans="1:69" x14ac:dyDescent="0.2">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
      <c r="A682">
        <f>Fesr</f>
        <v>1591549.4327375637</v>
      </c>
      <c r="B682">
        <f t="shared" ref="B682:B692" si="591">A682/1000</f>
        <v>1591.5494327375638</v>
      </c>
      <c r="C682">
        <f t="shared" ref="C682:C686" si="592">SQRT((A682/Fesr)^2+1)</f>
        <v>1.4142135623730951</v>
      </c>
      <c r="D682">
        <f t="shared" ref="D682:D686" si="593">ATAN(A682/Fesr)</f>
        <v>0.78539816339744828</v>
      </c>
      <c r="F682">
        <f t="shared" ref="F682:F687" si="594">(Ro/(Ro+Rdcr))/SQRT((A682/(Q*Fo))^2+(1-(A682^2/Fo^2))^2)</f>
        <v>5.5336821803219151E-5</v>
      </c>
      <c r="G682">
        <f t="shared" ref="G682:G687" si="595">-ATAN(A682*Fo/(Q*(Fo^2-A682^2)))</f>
        <v>4.3174719575849131E-3</v>
      </c>
      <c r="H682">
        <f t="shared" ref="H682:H687" si="596">IF(G682&gt;0,G682-Pi,G682)</f>
        <v>-3.1372751780424153</v>
      </c>
      <c r="J682">
        <f t="shared" ref="J682:J688" si="597">Vin/Vramp</f>
        <v>15</v>
      </c>
      <c r="M682">
        <f t="shared" ref="M682:M687" si="598">1/(2*Pi*_Rfb1*(Cc1ea_u+Cc2ea_u)*A682)</f>
        <v>5.012531328320803E-4</v>
      </c>
      <c r="N682">
        <f t="shared" ref="N682:N688" si="599">-Pi/2</f>
        <v>-1.5707963250000001</v>
      </c>
      <c r="O682">
        <f t="shared" ref="O682:O687" si="600">SQRT(1+(A682/Fz1_u)^2)</f>
        <v>180.00277775634461</v>
      </c>
      <c r="P682">
        <f t="shared" ref="P682:P687" si="601">ATAN(A682/Fz1_u)</f>
        <v>1.5652408283942041</v>
      </c>
      <c r="Q682">
        <f t="shared" ref="Q682:Q687" si="602">SQRT(1+(A682/Fz2_u)^2)</f>
        <v>189.39863995287823</v>
      </c>
      <c r="R682">
        <f t="shared" ref="R682:R687" si="603">ATAN(A682/Fz2_u)</f>
        <v>1.5655164333042335</v>
      </c>
      <c r="S682">
        <f t="shared" ref="S682:S687" si="604">1/SQRT(1+(A682/Fp1_u)^2)</f>
        <v>0.92975357432315409</v>
      </c>
      <c r="T682">
        <f t="shared" ref="T682:T687" si="605">-ATAN(A682/Fp1_u)</f>
        <v>-0.37705335216230823</v>
      </c>
      <c r="U682">
        <f t="shared" ref="U682:U687" si="606">1/SQRT(1+(A682/Fp2_u)^2)</f>
        <v>0.10497237569060777</v>
      </c>
      <c r="V682">
        <f t="shared" ref="V682:V687" si="607">-ATAN(A682/Fp2_u)</f>
        <v>-1.4656302035730131</v>
      </c>
      <c r="X682">
        <f t="shared" ref="X682:X686" si="608">20*LOG(C682*J682*O682*Q682*F682*M682*S682*U682)</f>
        <v>-54.164469697785364</v>
      </c>
      <c r="Y682">
        <f t="shared" ref="Y682:Y686" si="609">(180/Pi)*(D682+H682+N682+P682+R682+T682+V682)</f>
        <v>-150.95143988916993</v>
      </c>
      <c r="Z682">
        <f t="shared" ref="Z682:Z687" si="610">Y682+180</f>
        <v>29.048560110830067</v>
      </c>
      <c r="AC682">
        <v>1</v>
      </c>
      <c r="AD682">
        <f t="shared" ref="AD682:AD687" si="611">Rcea1_u*Cc1ea_u*A682*2*Pi</f>
        <v>180</v>
      </c>
      <c r="AE682">
        <f t="shared" ref="AE682:AE687" si="612">-Rcea1_u*Cc1ea_u*Cc2ea_u*(A682*2*Pi)^2</f>
        <v>-1.8000000000000003</v>
      </c>
      <c r="AF682">
        <f t="shared" ref="AF682:AF687" si="613">(Cc2ea_u+Cc1ea_u)*A682*2*Pi</f>
        <v>0.18999999999999997</v>
      </c>
      <c r="AG682">
        <f t="shared" ref="AG682:AG687" si="614">AC682*AE682/(AE682^2+AF682^2)+AD682*AF682/(AE682^2+AF682^2)</f>
        <v>9.889808003418695</v>
      </c>
      <c r="AH682">
        <f t="shared" ref="AH682:AH687" si="615">AD682*AE682/(AE682^2+AF682^2)-AC682*AF682/(AE682^2+AF682^2)</f>
        <v>-98.956075821861347</v>
      </c>
      <c r="AJ682">
        <f t="shared" ref="AJ682:AJ688" si="616">_Rfb1</f>
        <v>10500</v>
      </c>
      <c r="AK682">
        <f t="shared" ref="AK682:AK687" si="617">_Rfb1*Rcea2_u*Cc3ea_u*A682*2*Pi</f>
        <v>4158</v>
      </c>
      <c r="AL682">
        <v>1</v>
      </c>
      <c r="AM682">
        <f t="shared" ref="AM682:AM687" si="618">(_Rfb1+Rcea2_u)*Cc3ea_u*A682*2*Pi</f>
        <v>189.39600000000002</v>
      </c>
      <c r="AN682">
        <f t="shared" ref="AN682:AN687" si="619">AJ682*AL682/(AL682^2+AM682^2)+AK682*AM682/(AL682^2+AM682^2)</f>
        <v>22.246097798796857</v>
      </c>
      <c r="AO682">
        <f t="shared" ref="AO682:AO687" si="620">AK682*AL682/(AL682^2+AM682^2)-AJ682*AM682/(AL682^2+AM682^2)</f>
        <v>-55.321938700929287</v>
      </c>
      <c r="AQ682">
        <f t="shared" ref="AQ682:AQ687" si="621">Eadcg/(1+(Eadcg*A682/GBP)^2)</f>
        <v>9.8696034044432166E-4</v>
      </c>
      <c r="AR682">
        <f t="shared" ref="AR682:AR687" si="622">-(A682*Eadcg*Eadcg/GBP)/(1+(Eadcg*A682/GBP)^2)</f>
        <v>-3.1415923399372656</v>
      </c>
      <c r="AT682">
        <f t="shared" ref="AT682:AT687" si="623">-AR682*AH682+AG682*AQ682</f>
        <v>-310.86988894393687</v>
      </c>
      <c r="AU682">
        <f t="shared" ref="AU682:AU687" si="624">AQ682*AH682+AG682*AR682</f>
        <v>-31.167410789272616</v>
      </c>
      <c r="AV682">
        <f t="shared" ref="AV682:AV687" si="625">IF(AT682&lt;0,ATAN(AU682/AT682)+Pi,ATAN(AU682/AT682))</f>
        <v>3.2415174340758557</v>
      </c>
      <c r="AW682">
        <f t="shared" ref="AW682:AW687" si="626">AG682-AH682*AO682/_Rfb2+AG682*AN682/_Rfb2+AN682-AO682*AR682+AQ682*AN682</f>
        <v>-144.26833319716886</v>
      </c>
      <c r="AX682">
        <f t="shared" ref="AX682:AX687" si="627">AH682+AH682*AN682/_Rfb2+AG682*AO682/_Rfb2+AO682+AO682*AQ682+AN682*AR682</f>
        <v>-225.59504046676409</v>
      </c>
      <c r="AY682">
        <f t="shared" ref="AY682:AY687" si="628">IF(AW682&lt;0,ATAN(AX682/AW682)+Pi,ATAN(AX682/AW682))</f>
        <v>4.1434296177907015</v>
      </c>
      <c r="BA682">
        <f t="shared" ref="BA682:BA687" si="629">SQRT(AT682^2+AU682^2)/SQRT(AW682^2+AX682^2)</f>
        <v>1.1667325077071133</v>
      </c>
      <c r="BB682">
        <f t="shared" ref="BB682:BB687" si="630">20*LOG(BA682)</f>
        <v>1.3394259685045053</v>
      </c>
      <c r="BC682">
        <f t="shared" ref="BC682:BC687" si="631">AV682-AY682</f>
        <v>-0.90191218371484583</v>
      </c>
      <c r="BD682">
        <f t="shared" ref="BD682:BD687" si="632">BC682*180/Pi</f>
        <v>-51.675761677336567</v>
      </c>
      <c r="BF682">
        <f t="shared" ref="BF682:BF686" si="633">20*LOG(BA682*J682*F682*C682)</f>
        <v>-57.26816464584023</v>
      </c>
      <c r="BG682">
        <f t="shared" ref="BG682:BG686" si="634">(180/Pi)*(D682+H682+BC682)</f>
        <v>-186.42838870429819</v>
      </c>
      <c r="BH682">
        <f t="shared" ref="BH682:BH687" si="635">IF(BG682&gt;180,BG682-180,BG682+180)</f>
        <v>-6.428388704298186</v>
      </c>
      <c r="BI682">
        <f t="shared" ref="BI682:BI687" si="636">IF(BH682&gt;180,BH682-360,BH682)</f>
        <v>-6.428388704298186</v>
      </c>
    </row>
    <row r="683" spans="1:69" x14ac:dyDescent="0.2">
      <c r="A683">
        <f>Fo+1</f>
        <v>11957.860900053853</v>
      </c>
      <c r="B683">
        <f t="shared" si="591"/>
        <v>11.957860900053852</v>
      </c>
      <c r="C683">
        <f t="shared" si="592"/>
        <v>1.0000282247826031</v>
      </c>
      <c r="D683">
        <f t="shared" si="593"/>
        <v>7.5132042104289901E-3</v>
      </c>
      <c r="F683">
        <f t="shared" si="594"/>
        <v>1.7058964001972912</v>
      </c>
      <c r="G683">
        <f t="shared" si="595"/>
        <v>1.5705052658196335</v>
      </c>
      <c r="H683">
        <f t="shared" si="596"/>
        <v>-1.5710873841803668</v>
      </c>
      <c r="J683">
        <f t="shared" si="597"/>
        <v>15</v>
      </c>
      <c r="M683">
        <f t="shared" si="598"/>
        <v>6.6715037571078564E-2</v>
      </c>
      <c r="N683">
        <f t="shared" si="599"/>
        <v>-1.5707963250000001</v>
      </c>
      <c r="O683">
        <f t="shared" si="600"/>
        <v>1.6819606784238785</v>
      </c>
      <c r="P683">
        <f t="shared" si="601"/>
        <v>0.93409764288143693</v>
      </c>
      <c r="Q683">
        <f t="shared" si="602"/>
        <v>1.7392303382627812</v>
      </c>
      <c r="R683">
        <f t="shared" si="603"/>
        <v>0.9582325479752547</v>
      </c>
      <c r="S683">
        <f t="shared" si="604"/>
        <v>0.99999557386941462</v>
      </c>
      <c r="T683">
        <f t="shared" si="605"/>
        <v>-2.975276071391351E-3</v>
      </c>
      <c r="U683">
        <f t="shared" si="606"/>
        <v>0.99747635588193051</v>
      </c>
      <c r="V683">
        <f t="shared" si="607"/>
        <v>-7.1059218912912947E-2</v>
      </c>
      <c r="X683">
        <f t="shared" si="608"/>
        <v>13.94707066127684</v>
      </c>
      <c r="Y683">
        <f t="shared" si="609"/>
        <v>-75.405532170938542</v>
      </c>
      <c r="Z683">
        <f t="shared" si="610"/>
        <v>104.59446782906146</v>
      </c>
      <c r="AC683">
        <v>1</v>
      </c>
      <c r="AD683">
        <f t="shared" si="611"/>
        <v>1.3524022048799367</v>
      </c>
      <c r="AE683">
        <f t="shared" si="612"/>
        <v>-1.0161065132022854E-4</v>
      </c>
      <c r="AF683">
        <f t="shared" si="613"/>
        <v>1.4275356607065996E-3</v>
      </c>
      <c r="AG683">
        <f t="shared" si="614"/>
        <v>892.98266508612926</v>
      </c>
      <c r="AH683">
        <f t="shared" si="615"/>
        <v>-764.06956424274802</v>
      </c>
      <c r="AJ683">
        <f t="shared" si="616"/>
        <v>10500</v>
      </c>
      <c r="AK683">
        <f t="shared" si="617"/>
        <v>31.240490932726534</v>
      </c>
      <c r="AL683">
        <v>1</v>
      </c>
      <c r="AM683">
        <f t="shared" si="618"/>
        <v>1.4229975999746693</v>
      </c>
      <c r="AN683">
        <f t="shared" si="619"/>
        <v>3485.8599833809494</v>
      </c>
      <c r="AO683">
        <f t="shared" si="620"/>
        <v>-4929.1298992661041</v>
      </c>
      <c r="AQ683">
        <f t="shared" si="621"/>
        <v>17.453172072325788</v>
      </c>
      <c r="AR683">
        <f t="shared" si="622"/>
        <v>-417.40520781115282</v>
      </c>
      <c r="AT683">
        <f t="shared" si="623"/>
        <v>-303341.23513356893</v>
      </c>
      <c r="AU683">
        <f t="shared" si="624"/>
        <v>-386071.05247198854</v>
      </c>
      <c r="AV683">
        <f t="shared" si="625"/>
        <v>4.0464202296291578</v>
      </c>
      <c r="AW683">
        <f t="shared" si="626"/>
        <v>-1992553.0259709612</v>
      </c>
      <c r="AX683">
        <f t="shared" si="627"/>
        <v>-1550270.7960622108</v>
      </c>
      <c r="AY683">
        <f t="shared" si="628"/>
        <v>3.802794443234947</v>
      </c>
      <c r="BA683">
        <f t="shared" si="629"/>
        <v>0.19448048264505285</v>
      </c>
      <c r="BB683">
        <f t="shared" si="630"/>
        <v>-14.222479527368552</v>
      </c>
      <c r="BC683">
        <f t="shared" si="631"/>
        <v>0.24362578639421084</v>
      </c>
      <c r="BD683">
        <f t="shared" si="632"/>
        <v>13.958729356894171</v>
      </c>
      <c r="BF683">
        <f t="shared" si="633"/>
        <v>13.938643862564305</v>
      </c>
      <c r="BG683">
        <f t="shared" si="634"/>
        <v>-75.627472213379036</v>
      </c>
      <c r="BH683">
        <f t="shared" si="635"/>
        <v>104.37252778662096</v>
      </c>
      <c r="BI683">
        <f t="shared" si="636"/>
        <v>104.37252778662096</v>
      </c>
    </row>
    <row r="684" spans="1:69" x14ac:dyDescent="0.2">
      <c r="A684">
        <f>Fz1_u</f>
        <v>8841.9412929864666</v>
      </c>
      <c r="B684">
        <f t="shared" si="591"/>
        <v>8.8419412929864674</v>
      </c>
      <c r="C684">
        <f t="shared" si="592"/>
        <v>1.0000154319796923</v>
      </c>
      <c r="D684">
        <f t="shared" si="593"/>
        <v>5.555498400692623E-3</v>
      </c>
      <c r="F684">
        <f t="shared" si="594"/>
        <v>1.5781221051716683</v>
      </c>
      <c r="G684">
        <f t="shared" si="595"/>
        <v>-0.75328803223270691</v>
      </c>
      <c r="H684">
        <f t="shared" si="596"/>
        <v>-0.75328803223270691</v>
      </c>
      <c r="J684">
        <f t="shared" si="597"/>
        <v>15</v>
      </c>
      <c r="M684">
        <f t="shared" si="598"/>
        <v>9.0225563909774431E-2</v>
      </c>
      <c r="N684">
        <f t="shared" si="599"/>
        <v>-1.5707963250000001</v>
      </c>
      <c r="O684">
        <f t="shared" si="600"/>
        <v>1.4142135623730951</v>
      </c>
      <c r="P684">
        <f t="shared" si="601"/>
        <v>0.78539816339744828</v>
      </c>
      <c r="Q684">
        <f t="shared" si="602"/>
        <v>1.451593896377358</v>
      </c>
      <c r="R684">
        <f t="shared" si="603"/>
        <v>0.81082879717421064</v>
      </c>
      <c r="S684">
        <f t="shared" si="604"/>
        <v>0.99999758000878458</v>
      </c>
      <c r="T684">
        <f t="shared" si="605"/>
        <v>-2.1999964506769745E-3</v>
      </c>
      <c r="U684">
        <f t="shared" si="606"/>
        <v>0.99861782933250975</v>
      </c>
      <c r="V684">
        <f t="shared" si="607"/>
        <v>-5.2583061610941714E-2</v>
      </c>
      <c r="X684">
        <f t="shared" si="608"/>
        <v>12.826531304207155</v>
      </c>
      <c r="Y684">
        <f t="shared" si="609"/>
        <v>-44.523688371232772</v>
      </c>
      <c r="Z684">
        <f t="shared" si="610"/>
        <v>135.47631162876723</v>
      </c>
      <c r="AC684">
        <v>1</v>
      </c>
      <c r="AD684">
        <f t="shared" si="611"/>
        <v>1.0000000000000002</v>
      </c>
      <c r="AE684">
        <f t="shared" si="612"/>
        <v>-5.5555555555555579E-5</v>
      </c>
      <c r="AF684">
        <f t="shared" si="613"/>
        <v>1.0555555555555557E-3</v>
      </c>
      <c r="AG684">
        <f t="shared" si="614"/>
        <v>895.02762430939231</v>
      </c>
      <c r="AH684">
        <f t="shared" si="615"/>
        <v>-994.47513812154682</v>
      </c>
      <c r="AJ684">
        <f t="shared" si="616"/>
        <v>10500</v>
      </c>
      <c r="AK684">
        <f t="shared" si="617"/>
        <v>23.100000000000005</v>
      </c>
      <c r="AL684">
        <v>1</v>
      </c>
      <c r="AM684">
        <f t="shared" si="618"/>
        <v>1.0522000000000002</v>
      </c>
      <c r="AN684">
        <f t="shared" si="619"/>
        <v>4994.6285194948387</v>
      </c>
      <c r="AO684">
        <f t="shared" si="620"/>
        <v>-5232.24812821247</v>
      </c>
      <c r="AQ684">
        <f t="shared" si="621"/>
        <v>31.875587967058195</v>
      </c>
      <c r="AR684">
        <f t="shared" si="622"/>
        <v>-563.68415496830869</v>
      </c>
      <c r="AT684">
        <f t="shared" si="623"/>
        <v>-532040.34609741496</v>
      </c>
      <c r="AU684">
        <f t="shared" si="624"/>
        <v>-536212.36982837832</v>
      </c>
      <c r="AV684">
        <f t="shared" si="625"/>
        <v>3.9308962586703475</v>
      </c>
      <c r="AW684">
        <f t="shared" si="626"/>
        <v>-2784605.4929471607</v>
      </c>
      <c r="AX684">
        <f t="shared" si="627"/>
        <v>-2993225.6853840998</v>
      </c>
      <c r="AY684">
        <f t="shared" si="628"/>
        <v>3.9630821418491715</v>
      </c>
      <c r="BA684">
        <f t="shared" si="629"/>
        <v>0.18476919030038649</v>
      </c>
      <c r="BB684">
        <f t="shared" si="630"/>
        <v>-14.667408887215059</v>
      </c>
      <c r="BC684">
        <f t="shared" si="631"/>
        <v>-3.2185883178823982E-2</v>
      </c>
      <c r="BD684">
        <f t="shared" si="632"/>
        <v>-1.8441152681549329</v>
      </c>
      <c r="BF684">
        <f t="shared" si="633"/>
        <v>12.817362396364624</v>
      </c>
      <c r="BG684">
        <f t="shared" si="634"/>
        <v>-44.686033710306418</v>
      </c>
      <c r="BH684">
        <f t="shared" si="635"/>
        <v>135.31396628969358</v>
      </c>
      <c r="BI684">
        <f t="shared" si="636"/>
        <v>135.31396628969358</v>
      </c>
    </row>
    <row r="685" spans="1:69" x14ac:dyDescent="0.2">
      <c r="A685">
        <f>Fz2_u</f>
        <v>8403.2895770637388</v>
      </c>
      <c r="B685">
        <f t="shared" si="591"/>
        <v>8.4032895770637381</v>
      </c>
      <c r="C685">
        <f t="shared" si="592"/>
        <v>1.000013938799543</v>
      </c>
      <c r="D685">
        <f t="shared" si="593"/>
        <v>5.2798934906631576E-3</v>
      </c>
      <c r="F685">
        <f t="shared" si="594"/>
        <v>1.514184015423564</v>
      </c>
      <c r="G685">
        <f t="shared" si="595"/>
        <v>-0.67355196630640624</v>
      </c>
      <c r="H685">
        <f t="shared" si="596"/>
        <v>-0.67355196630640624</v>
      </c>
      <c r="J685">
        <f t="shared" si="597"/>
        <v>15</v>
      </c>
      <c r="M685">
        <f t="shared" si="598"/>
        <v>9.4935338345864664E-2</v>
      </c>
      <c r="N685">
        <f t="shared" si="599"/>
        <v>-1.5707963250000001</v>
      </c>
      <c r="O685">
        <f t="shared" si="600"/>
        <v>1.3795798292884984</v>
      </c>
      <c r="P685">
        <f t="shared" si="601"/>
        <v>0.75996752962068592</v>
      </c>
      <c r="Q685">
        <f t="shared" si="602"/>
        <v>1.4142135623730951</v>
      </c>
      <c r="R685">
        <f t="shared" si="603"/>
        <v>0.78539816339744828</v>
      </c>
      <c r="S685">
        <f t="shared" si="604"/>
        <v>0.99999781416514366</v>
      </c>
      <c r="T685">
        <f t="shared" si="605"/>
        <v>-2.0908542046253332E-3</v>
      </c>
      <c r="U685">
        <f t="shared" si="606"/>
        <v>0.99875131708282405</v>
      </c>
      <c r="V685">
        <f t="shared" si="607"/>
        <v>-4.9978852966299198E-2</v>
      </c>
      <c r="X685">
        <f t="shared" si="608"/>
        <v>12.468442437017069</v>
      </c>
      <c r="Y685">
        <f t="shared" si="609"/>
        <v>-42.729611731914375</v>
      </c>
      <c r="Z685">
        <f t="shared" si="610"/>
        <v>137.27038826808564</v>
      </c>
      <c r="AC685">
        <v>1</v>
      </c>
      <c r="AD685">
        <f t="shared" si="611"/>
        <v>0.95038965976050183</v>
      </c>
      <c r="AE685">
        <f t="shared" si="612"/>
        <v>-5.0180028076649028E-5</v>
      </c>
      <c r="AF685">
        <f t="shared" si="613"/>
        <v>1.0031890853027519E-3</v>
      </c>
      <c r="AG685">
        <f t="shared" si="614"/>
        <v>895.26692147754818</v>
      </c>
      <c r="AH685">
        <f t="shared" si="615"/>
        <v>-1041.6027592051514</v>
      </c>
      <c r="AJ685">
        <f t="shared" si="616"/>
        <v>10500</v>
      </c>
      <c r="AK685">
        <f t="shared" si="617"/>
        <v>21.954001140467597</v>
      </c>
      <c r="AL685">
        <v>1</v>
      </c>
      <c r="AM685">
        <f t="shared" si="618"/>
        <v>1.0000000000000002</v>
      </c>
      <c r="AN685">
        <f t="shared" si="619"/>
        <v>5260.977000570233</v>
      </c>
      <c r="AO685">
        <f t="shared" si="620"/>
        <v>-5239.0229994297661</v>
      </c>
      <c r="AQ685">
        <f t="shared" si="621"/>
        <v>35.278208893442134</v>
      </c>
      <c r="AR685">
        <f t="shared" si="622"/>
        <v>-592.90601018347922</v>
      </c>
      <c r="AT685">
        <f t="shared" si="623"/>
        <v>-585989.12268515571</v>
      </c>
      <c r="AU685">
        <f t="shared" si="624"/>
        <v>-567555.01818572427</v>
      </c>
      <c r="AV685">
        <f t="shared" si="625"/>
        <v>3.9110117668283166</v>
      </c>
      <c r="AW685">
        <f t="shared" si="626"/>
        <v>-2914867.6353838681</v>
      </c>
      <c r="AX685">
        <f t="shared" si="627"/>
        <v>-3315453.9426812897</v>
      </c>
      <c r="AY685">
        <f t="shared" si="628"/>
        <v>3.9911986810829401</v>
      </c>
      <c r="BA685">
        <f t="shared" si="629"/>
        <v>0.18479208385314339</v>
      </c>
      <c r="BB685">
        <f t="shared" si="630"/>
        <v>-14.666332741596829</v>
      </c>
      <c r="BC685">
        <f t="shared" si="631"/>
        <v>-8.0186914254623431E-2</v>
      </c>
      <c r="BD685">
        <f t="shared" si="632"/>
        <v>-4.5943717642171773</v>
      </c>
      <c r="BF685">
        <f t="shared" si="633"/>
        <v>12.459186653869317</v>
      </c>
      <c r="BG685">
        <f t="shared" si="634"/>
        <v>-42.883541146770241</v>
      </c>
      <c r="BH685">
        <f t="shared" si="635"/>
        <v>137.11645885322974</v>
      </c>
      <c r="BI685">
        <f t="shared" si="636"/>
        <v>137.11645885322974</v>
      </c>
    </row>
    <row r="686" spans="1:69" x14ac:dyDescent="0.2">
      <c r="A686">
        <f>Fp1_u</f>
        <v>4019064.2240847568</v>
      </c>
      <c r="B686">
        <f t="shared" si="591"/>
        <v>4019.0642240847569</v>
      </c>
      <c r="C686">
        <f t="shared" si="592"/>
        <v>2.7160449768540755</v>
      </c>
      <c r="D686">
        <f t="shared" si="593"/>
        <v>1.1937429746325883</v>
      </c>
      <c r="F686">
        <f t="shared" si="594"/>
        <v>8.6773542657210238E-6</v>
      </c>
      <c r="G686">
        <f t="shared" si="595"/>
        <v>1.709646486065364E-3</v>
      </c>
      <c r="H686">
        <f t="shared" si="596"/>
        <v>-3.1398830035139347</v>
      </c>
      <c r="J686">
        <f t="shared" si="597"/>
        <v>15</v>
      </c>
      <c r="M686">
        <f t="shared" si="598"/>
        <v>1.984962406015038E-4</v>
      </c>
      <c r="N686">
        <f t="shared" si="599"/>
        <v>-1.5707963250000001</v>
      </c>
      <c r="O686">
        <f t="shared" si="600"/>
        <v>454.54655454412347</v>
      </c>
      <c r="P686">
        <f t="shared" si="601"/>
        <v>1.5685963303442196</v>
      </c>
      <c r="Q686">
        <f t="shared" si="602"/>
        <v>478.27377270021037</v>
      </c>
      <c r="R686">
        <f t="shared" si="603"/>
        <v>1.5687054725902714</v>
      </c>
      <c r="S686">
        <f t="shared" si="604"/>
        <v>0.70710678118654746</v>
      </c>
      <c r="T686">
        <f t="shared" si="605"/>
        <v>-0.78539816339744828</v>
      </c>
      <c r="U686">
        <f t="shared" si="606"/>
        <v>4.1763530467816647E-2</v>
      </c>
      <c r="V686">
        <f t="shared" si="607"/>
        <v>-1.5290206461822327</v>
      </c>
      <c r="X686">
        <f t="shared" si="608"/>
        <v>-66.925900525898612</v>
      </c>
      <c r="Y686">
        <f t="shared" si="609"/>
        <v>-154.35788751758653</v>
      </c>
      <c r="Z686">
        <f t="shared" si="610"/>
        <v>25.642112482413467</v>
      </c>
      <c r="AC686">
        <v>1</v>
      </c>
      <c r="AD686">
        <f t="shared" si="611"/>
        <v>454.54545454545456</v>
      </c>
      <c r="AE686">
        <f t="shared" si="612"/>
        <v>-11.478420569329661</v>
      </c>
      <c r="AF686">
        <f t="shared" si="613"/>
        <v>0.47979797979797972</v>
      </c>
      <c r="AG686">
        <f t="shared" si="614"/>
        <v>1.5654248271250537</v>
      </c>
      <c r="AH686">
        <f t="shared" si="615"/>
        <v>-39.534565242226172</v>
      </c>
      <c r="AJ686">
        <f t="shared" si="616"/>
        <v>10500</v>
      </c>
      <c r="AK686">
        <f t="shared" si="617"/>
        <v>10500</v>
      </c>
      <c r="AL686">
        <v>1</v>
      </c>
      <c r="AM686">
        <f t="shared" si="618"/>
        <v>478.27272727272725</v>
      </c>
      <c r="AN686">
        <f t="shared" si="619"/>
        <v>21.99980764674288</v>
      </c>
      <c r="AO686">
        <f t="shared" si="620"/>
        <v>-21.908002683118383</v>
      </c>
      <c r="AQ686">
        <f t="shared" si="621"/>
        <v>1.5477118562700717E-4</v>
      </c>
      <c r="AR686">
        <f t="shared" si="622"/>
        <v>-1.2440706701453708</v>
      </c>
      <c r="AT686">
        <f t="shared" si="623"/>
        <v>-49.183550792145695</v>
      </c>
      <c r="AU686">
        <f t="shared" si="624"/>
        <v>-1.9536179252794543</v>
      </c>
      <c r="AV686">
        <f t="shared" si="625"/>
        <v>3.1812927412302856</v>
      </c>
      <c r="AW686">
        <f t="shared" si="626"/>
        <v>-4.1023083275128913</v>
      </c>
      <c r="AX686">
        <f t="shared" si="627"/>
        <v>-89.26729817606693</v>
      </c>
      <c r="AY686">
        <f t="shared" si="628"/>
        <v>4.6664659547367169</v>
      </c>
      <c r="BA686">
        <f t="shared" si="629"/>
        <v>0.5508225558057126</v>
      </c>
      <c r="BB686">
        <f t="shared" si="630"/>
        <v>-5.1797656797987841</v>
      </c>
      <c r="BC686">
        <f t="shared" si="631"/>
        <v>-1.4851732135064313</v>
      </c>
      <c r="BD686">
        <f t="shared" si="632"/>
        <v>-85.09415707703468</v>
      </c>
      <c r="BF686">
        <f t="shared" si="633"/>
        <v>-74.211454779247916</v>
      </c>
      <c r="BG686">
        <f t="shared" si="634"/>
        <v>-196.59976720081769</v>
      </c>
      <c r="BH686">
        <f t="shared" si="635"/>
        <v>-16.599767200817695</v>
      </c>
      <c r="BI686">
        <f t="shared" si="636"/>
        <v>-16.599767200817695</v>
      </c>
    </row>
    <row r="687" spans="1:69" x14ac:dyDescent="0.2">
      <c r="A687">
        <f>Fp2_u</f>
        <v>167996.88456674287</v>
      </c>
      <c r="B687">
        <f t="shared" si="591"/>
        <v>167.99688456674286</v>
      </c>
      <c r="C687">
        <f>SQRT((A687/Fesr)^2+1)</f>
        <v>1.0055555555555555</v>
      </c>
      <c r="D687">
        <f>ATAN(A687/Fesr)</f>
        <v>0.10516612322188346</v>
      </c>
      <c r="F687">
        <f t="shared" si="594"/>
        <v>4.9873570825186876E-3</v>
      </c>
      <c r="G687">
        <f t="shared" si="595"/>
        <v>4.1085418268080022E-2</v>
      </c>
      <c r="H687">
        <f t="shared" si="596"/>
        <v>-3.1005072317319202</v>
      </c>
      <c r="J687">
        <f t="shared" si="597"/>
        <v>15</v>
      </c>
      <c r="M687">
        <f t="shared" si="598"/>
        <v>4.7487138899881282E-3</v>
      </c>
      <c r="N687">
        <f t="shared" si="599"/>
        <v>-1.5707963250000001</v>
      </c>
      <c r="O687">
        <f t="shared" si="600"/>
        <v>19.026297590440446</v>
      </c>
      <c r="P687">
        <f t="shared" si="601"/>
        <v>1.5182132651839548</v>
      </c>
      <c r="Q687">
        <f t="shared" si="602"/>
        <v>20.016794629510493</v>
      </c>
      <c r="R687">
        <f t="shared" si="603"/>
        <v>1.5208174738285973</v>
      </c>
      <c r="S687">
        <f t="shared" si="604"/>
        <v>0.99912752315350795</v>
      </c>
      <c r="T687">
        <f t="shared" si="605"/>
        <v>-4.177568061266404E-2</v>
      </c>
      <c r="U687">
        <f t="shared" si="606"/>
        <v>0.70710678118654746</v>
      </c>
      <c r="V687">
        <f t="shared" si="607"/>
        <v>-0.78539816339744828</v>
      </c>
      <c r="X687">
        <f>20*LOG(C687*J687*O687*Q687*F687*M687*S687*U687)</f>
        <v>-20.344029195276121</v>
      </c>
      <c r="Y687">
        <f>(180/Pi)*(D687+H687+N687+P687+R687+T687+V687)</f>
        <v>-134.89033880040665</v>
      </c>
      <c r="Z687">
        <f t="shared" si="610"/>
        <v>45.109661199593347</v>
      </c>
      <c r="AC687">
        <v>1</v>
      </c>
      <c r="AD687">
        <f t="shared" si="611"/>
        <v>19.000000000000004</v>
      </c>
      <c r="AE687">
        <f t="shared" si="612"/>
        <v>-2.0055555555555566E-2</v>
      </c>
      <c r="AF687">
        <f t="shared" si="613"/>
        <v>2.0055555555555556E-2</v>
      </c>
      <c r="AG687">
        <f t="shared" si="614"/>
        <v>448.75346260387801</v>
      </c>
      <c r="AH687">
        <f t="shared" si="615"/>
        <v>-498.61495844875355</v>
      </c>
      <c r="AJ687">
        <f t="shared" si="616"/>
        <v>10500</v>
      </c>
      <c r="AK687">
        <f t="shared" si="617"/>
        <v>438.90000000000009</v>
      </c>
      <c r="AL687">
        <v>1</v>
      </c>
      <c r="AM687">
        <f t="shared" si="618"/>
        <v>19.991800000000005</v>
      </c>
      <c r="AN687">
        <f t="shared" si="619"/>
        <v>48.105177764874611</v>
      </c>
      <c r="AO687">
        <f t="shared" si="620"/>
        <v>-522.80909283982044</v>
      </c>
      <c r="AQ687">
        <f t="shared" si="621"/>
        <v>8.8579598146479657E-2</v>
      </c>
      <c r="AR687">
        <f t="shared" si="622"/>
        <v>-29.76219304956523</v>
      </c>
      <c r="AT687">
        <f t="shared" si="623"/>
        <v>-14800.124249368455</v>
      </c>
      <c r="AU687">
        <f t="shared" si="624"/>
        <v>-13400.054298326682</v>
      </c>
      <c r="AV687">
        <f t="shared" si="625"/>
        <v>3.8773839886670749</v>
      </c>
      <c r="AW687">
        <f t="shared" si="626"/>
        <v>-15178.371905988774</v>
      </c>
      <c r="AX687">
        <f t="shared" si="627"/>
        <v>-2628.749033914034</v>
      </c>
      <c r="AY687">
        <f t="shared" si="628"/>
        <v>3.3130819976379788</v>
      </c>
      <c r="BA687">
        <f t="shared" si="629"/>
        <v>1.2960707511430454</v>
      </c>
      <c r="BB687">
        <f t="shared" si="630"/>
        <v>2.2525741972397153</v>
      </c>
      <c r="BC687">
        <f t="shared" si="631"/>
        <v>0.56430199102909606</v>
      </c>
      <c r="BD687">
        <f t="shared" si="632"/>
        <v>32.332122493741281</v>
      </c>
      <c r="BF687">
        <f>20*LOG(BA687*J687*F687*C687)</f>
        <v>-20.220069951331467</v>
      </c>
      <c r="BG687">
        <f>(180/Pi)*(D687+H687+BC687)</f>
        <v>-139.28828142202627</v>
      </c>
      <c r="BH687">
        <f t="shared" si="635"/>
        <v>40.711718577973727</v>
      </c>
      <c r="BI687">
        <f t="shared" si="636"/>
        <v>40.711718577973727</v>
      </c>
    </row>
    <row r="688" spans="1:69" x14ac:dyDescent="0.2">
      <c r="A688">
        <f>'Bode Plots Calculations'!BK5*1000</f>
        <v>28000</v>
      </c>
      <c r="B688">
        <f t="shared" si="591"/>
        <v>28</v>
      </c>
      <c r="C688">
        <f>SQRT((A688/Fesr)^2+1)</f>
        <v>1.0001547434238918</v>
      </c>
      <c r="D688">
        <f>ATAN(A688/Fesr)</f>
        <v>1.759110411090609E-2</v>
      </c>
      <c r="F688">
        <f t="shared" ref="F688" si="637">(Ro/(Ro+Rdcr))/SQRT((A688/(Q*Fo))^2+(1-(A688^2/Fo^2))^2)</f>
        <v>0.20942323356184644</v>
      </c>
      <c r="G688">
        <f t="shared" ref="G688" si="638">-ATAN(A688*Fo/(Q*(Fo^2-A688^2)))</f>
        <v>0.29157336557882535</v>
      </c>
      <c r="H688">
        <f t="shared" ref="H688" si="639">IF(G688&gt;0,G688-Pi,G688)</f>
        <v>-2.8500192844211747</v>
      </c>
      <c r="J688">
        <f t="shared" si="597"/>
        <v>15</v>
      </c>
      <c r="M688">
        <f t="shared" ref="M688" si="640">1/(2*Pi*_Rfb1*(Cc1ea_u+Cc2ea_u)*A688)</f>
        <v>2.849175497202943E-2</v>
      </c>
      <c r="N688">
        <f t="shared" si="599"/>
        <v>-1.5707963250000001</v>
      </c>
      <c r="O688">
        <f t="shared" ref="O688" si="641">SQRT(1+(A688/Fz1_u)^2)</f>
        <v>3.3208658062726344</v>
      </c>
      <c r="P688">
        <f t="shared" ref="P688" si="642">ATAN(A688/Fz1_u)</f>
        <v>1.2649227804468477</v>
      </c>
      <c r="Q688">
        <f t="shared" ref="Q688" si="643">SQRT(1+(A688/Fz2_u)^2)</f>
        <v>3.4788523446288613</v>
      </c>
      <c r="R688">
        <f t="shared" ref="R688" si="644">ATAN(A688/Fz2_u)</f>
        <v>1.2792317514951093</v>
      </c>
      <c r="S688">
        <f t="shared" ref="S688" si="645">1/SQRT(1+(A688/Fp1_u)^2)</f>
        <v>0.99997573276109497</v>
      </c>
      <c r="T688">
        <f t="shared" ref="T688" si="646">-ATAN(A688/Fp1_u)</f>
        <v>-6.9666831498864101E-3</v>
      </c>
      <c r="U688">
        <f t="shared" ref="U688" si="647">1/SQRT(1+(A688/Fp2_u)^2)</f>
        <v>0.98639342944224551</v>
      </c>
      <c r="V688">
        <f t="shared" ref="V688" si="648">-ATAN(A688/Fp2_u)</f>
        <v>-0.16515168464384505</v>
      </c>
      <c r="X688">
        <f>20*LOG(C688*J688*O688*Q688*F688*M688*S688*U688)</f>
        <v>0.17258947455111615</v>
      </c>
      <c r="Y688">
        <f>(180/Pi)*(D688+H688+N688+P688+R688+T688+V688)</f>
        <v>-116.3785194777457</v>
      </c>
      <c r="Z688">
        <f t="shared" ref="Z688" si="649">Y688+180</f>
        <v>63.621480522254302</v>
      </c>
      <c r="AC688">
        <v>1</v>
      </c>
      <c r="AD688">
        <f t="shared" ref="AD688" si="650">Rcea1_u*Cc1ea_u*A688*2*Pi</f>
        <v>3.1667253912000004</v>
      </c>
      <c r="AE688">
        <f t="shared" ref="AE688" si="651">-Rcea1_u*Cc1ea_u*Cc2ea_u*(A688*2*Pi)^2</f>
        <v>-5.5711942795948861E-4</v>
      </c>
      <c r="AF688">
        <f t="shared" ref="AF688" si="652">(Cc2ea_u+Cc1ea_u)*A688*2*Pi</f>
        <v>3.3426545795999995E-3</v>
      </c>
      <c r="AG688">
        <f t="shared" ref="AG688" si="653">AC688*AE688/(AE688^2+AF688^2)+AD688*AF688/(AE688^2+AF688^2)</f>
        <v>873.24910592125843</v>
      </c>
      <c r="AH688">
        <f t="shared" ref="AH688" si="654">AD688*AE688/(AE688^2+AF688^2)-AC688*AF688/(AE688^2+AF688^2)</f>
        <v>-444.70764386754843</v>
      </c>
      <c r="AJ688">
        <f t="shared" si="616"/>
        <v>10500</v>
      </c>
      <c r="AK688">
        <f t="shared" ref="AK688" si="655">_Rfb1*Rcea2_u*Cc3ea_u*A688*2*Pi</f>
        <v>73.151356536720002</v>
      </c>
      <c r="AL688">
        <v>1</v>
      </c>
      <c r="AM688">
        <f t="shared" ref="AM688" si="656">(_Rfb1+Rcea2_u)*Cc3ea_u*A688*2*Pi</f>
        <v>3.3320284566206402</v>
      </c>
      <c r="AN688">
        <f t="shared" ref="AN688" si="657">AJ688*AL688/(AL688^2+AM688^2)+AK688*AM688/(AL688^2+AM688^2)</f>
        <v>887.73551499695952</v>
      </c>
      <c r="AO688">
        <f t="shared" ref="AO688" si="658">AK688*AL688/(AL688^2+AM688^2)-AJ688*AM688/(AL688^2+AM688^2)</f>
        <v>-2884.8086413859282</v>
      </c>
      <c r="AQ688">
        <f t="shared" ref="AQ688" si="659">Eadcg/(1+(Eadcg*A688/GBP)^2)</f>
        <v>3.1877590054191902</v>
      </c>
      <c r="AR688">
        <f t="shared" ref="AR688" si="660">-(A688*Eadcg*Eadcg/GBP)/(1+(Eadcg*A688/GBP)^2)</f>
        <v>-178.51450430347467</v>
      </c>
      <c r="AT688">
        <f t="shared" ref="AT688" si="661">-AR688*AH688+AG688*AQ688</f>
        <v>-76603.056903606805</v>
      </c>
      <c r="AU688">
        <f t="shared" ref="AU688" si="662">AQ688*AH688+AG688*AR688</f>
        <v>-157305.25207350342</v>
      </c>
      <c r="AV688">
        <f t="shared" ref="AV688" si="663">IF(AT688&lt;0,ATAN(AU688/AT688)+Pi,ATAN(AU688/AT688))</f>
        <v>4.2592189909425553</v>
      </c>
      <c r="AW688">
        <f t="shared" ref="AW688" si="664">AG688-AH688*AO688/_Rfb2+AG688*AN688/_Rfb2+AN688-AO688*AR688+AQ688*AN688</f>
        <v>-510643.15422868589</v>
      </c>
      <c r="AX688">
        <f t="shared" ref="AX688" si="665">AH688+AH688*AN688/_Rfb2+AG688*AO688/_Rfb2+AO688+AO688*AQ688+AN688*AR688</f>
        <v>-172456.22609106262</v>
      </c>
      <c r="AY688">
        <f t="shared" ref="AY688" si="666">IF(AW688&lt;0,ATAN(AX688/AW688)+Pi,ATAN(AX688/AW688))</f>
        <v>3.4672891945451179</v>
      </c>
      <c r="BA688">
        <f t="shared" ref="BA688" si="667">SQRT(AT688^2+AU688^2)/SQRT(AW688^2+AX688^2)</f>
        <v>0.32462463739511727</v>
      </c>
      <c r="BB688">
        <f t="shared" ref="BB688" si="668">20*LOG(BA688)</f>
        <v>-9.7723704493637236</v>
      </c>
      <c r="BC688">
        <f t="shared" ref="BC688" si="669">AV688-AY688</f>
        <v>0.79192979639743744</v>
      </c>
      <c r="BD688">
        <f t="shared" ref="BD688" si="670">BC688*180/Pi</f>
        <v>45.374235056075371</v>
      </c>
      <c r="BF688">
        <v>0</v>
      </c>
      <c r="BG688">
        <f>(180/Pi)*(D688+H688+BC688)</f>
        <v>-116.91194563506176</v>
      </c>
      <c r="BH688">
        <f t="shared" ref="BH688:BH690" si="671">IF(BG688&gt;180,BG688-180,BG688+180)</f>
        <v>63.088054364938245</v>
      </c>
      <c r="BI688">
        <f t="shared" ref="BI688:BI690" si="672">IF(BH688&gt;180,BH688-360,BH688)</f>
        <v>63.088054364938245</v>
      </c>
    </row>
    <row r="689" spans="1:61" x14ac:dyDescent="0.2">
      <c r="A689">
        <v>1000000</v>
      </c>
      <c r="B689">
        <f t="shared" si="591"/>
        <v>1000</v>
      </c>
      <c r="BG689">
        <f>BG688</f>
        <v>-116.91194563506176</v>
      </c>
      <c r="BH689">
        <f t="shared" si="671"/>
        <v>63.088054364938245</v>
      </c>
      <c r="BI689">
        <f t="shared" si="672"/>
        <v>63.088054364938245</v>
      </c>
    </row>
    <row r="690" spans="1:61" x14ac:dyDescent="0.2">
      <c r="A690">
        <f>'Bode Plots Calculations'!BK5*1000</f>
        <v>28000</v>
      </c>
      <c r="B690">
        <f t="shared" si="591"/>
        <v>28</v>
      </c>
      <c r="BG690">
        <f>BG688</f>
        <v>-116.91194563506176</v>
      </c>
      <c r="BH690">
        <f t="shared" si="671"/>
        <v>63.088054364938245</v>
      </c>
      <c r="BI690">
        <f t="shared" si="672"/>
        <v>63.088054364938245</v>
      </c>
    </row>
    <row r="691" spans="1:61" x14ac:dyDescent="0.2">
      <c r="A691">
        <f>'Bode Plots Calculations'!BK5*1000</f>
        <v>28000</v>
      </c>
      <c r="B691">
        <f t="shared" si="591"/>
        <v>28</v>
      </c>
      <c r="BG691">
        <v>-90</v>
      </c>
    </row>
    <row r="692" spans="1:61" x14ac:dyDescent="0.2">
      <c r="A692">
        <f>'Bode Plots Calculations'!BK5*1000</f>
        <v>28000</v>
      </c>
      <c r="B692">
        <f t="shared" si="591"/>
        <v>28</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40625" defaultRowHeight="12.75" x14ac:dyDescent="0.2"/>
  <cols>
    <col min="1" max="1" width="10.5703125" style="385" customWidth="1"/>
    <col min="2" max="2" width="133.7109375" style="385" customWidth="1"/>
    <col min="3" max="16384" width="9.140625" style="385"/>
  </cols>
  <sheetData>
    <row r="2" spans="1:2" x14ac:dyDescent="0.2">
      <c r="A2" s="385" t="str">
        <f>IF(RDSON_sense=1, "SCH_RDSON", "SCH_SHUNT")</f>
        <v>SCH_RDSON</v>
      </c>
    </row>
    <row r="5" spans="1:2" ht="403.5" customHeight="1" x14ac:dyDescent="0.2">
      <c r="B5" s="346"/>
    </row>
    <row r="6" spans="1:2" ht="12" customHeight="1" x14ac:dyDescent="0.2">
      <c r="B6" s="346"/>
    </row>
    <row r="7" spans="1:2" ht="34.5" customHeight="1" x14ac:dyDescent="0.2"/>
    <row r="8" spans="1:2" ht="404.1" customHeight="1" x14ac:dyDescent="0.2">
      <c r="B8" s="346"/>
    </row>
    <row r="9" spans="1:2" x14ac:dyDescent="0.2">
      <c r="B9" s="346"/>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2.75" x14ac:dyDescent="0.2"/>
  <cols>
    <col min="1" max="1" width="19.85546875" customWidth="1"/>
    <col min="2" max="2" width="13.140625" bestFit="1" customWidth="1"/>
    <col min="4" max="4" width="61.5703125" customWidth="1"/>
    <col min="8" max="8" width="11" bestFit="1" customWidth="1"/>
    <col min="10" max="10" width="12.42578125" bestFit="1" customWidth="1"/>
    <col min="11" max="11" width="12.42578125" customWidth="1"/>
    <col min="12" max="12" width="10" customWidth="1"/>
    <col min="13" max="13" width="11" customWidth="1"/>
    <col min="14" max="14" width="11.42578125" customWidth="1"/>
    <col min="15" max="15" width="10.28515625" bestFit="1" customWidth="1"/>
    <col min="16" max="16" width="8" customWidth="1"/>
    <col min="17" max="17" width="11.85546875" style="40" customWidth="1"/>
    <col min="18" max="18" width="10.28515625" style="9" customWidth="1"/>
    <col min="19" max="19" width="9.42578125" bestFit="1" customWidth="1"/>
    <col min="20" max="20" width="11.5703125" customWidth="1"/>
    <col min="21" max="21" width="12.5703125" bestFit="1" customWidth="1"/>
    <col min="22" max="22" width="12.28515625" bestFit="1" customWidth="1"/>
    <col min="23" max="23" width="10.5703125" bestFit="1" customWidth="1"/>
    <col min="24" max="25" width="10.28515625" customWidth="1"/>
    <col min="26" max="27" width="12.42578125" customWidth="1"/>
    <col min="28" max="28" width="11.140625" bestFit="1" customWidth="1"/>
    <col min="29" max="29" width="11.85546875" customWidth="1"/>
    <col min="30" max="30" width="12.42578125" customWidth="1"/>
    <col min="31" max="31" width="9.5703125" bestFit="1" customWidth="1"/>
    <col min="32" max="32" width="11.5703125" customWidth="1"/>
    <col min="33" max="34" width="12.7109375" customWidth="1"/>
    <col min="35" max="35" width="14.28515625" customWidth="1"/>
    <col min="36" max="36" width="10.85546875" bestFit="1" customWidth="1"/>
    <col min="37" max="37" width="10" customWidth="1"/>
    <col min="38" max="38" width="11.28515625" customWidth="1"/>
    <col min="39" max="39" width="10.7109375" customWidth="1"/>
    <col min="41" max="41" width="10" style="4" bestFit="1" customWidth="1"/>
    <col min="42" max="42" width="15" customWidth="1"/>
    <col min="43" max="43" width="14.85546875" style="10" customWidth="1"/>
    <col min="55" max="55" width="28.42578125" customWidth="1"/>
    <col min="58" max="58" width="12.42578125" bestFit="1" customWidth="1"/>
  </cols>
  <sheetData>
    <row r="1" spans="1:69" ht="12.75" customHeight="1" x14ac:dyDescent="0.2">
      <c r="A1" s="566" t="s">
        <v>195</v>
      </c>
      <c r="B1" s="566"/>
      <c r="C1" s="566"/>
      <c r="D1" s="566"/>
    </row>
    <row r="2" spans="1:69" ht="12.75" customHeight="1" x14ac:dyDescent="0.2">
      <c r="A2" s="566"/>
      <c r="B2" s="566"/>
      <c r="C2" s="566"/>
      <c r="D2" s="566"/>
    </row>
    <row r="3" spans="1:69" ht="12.75" customHeight="1" x14ac:dyDescent="0.2">
      <c r="A3" s="566"/>
      <c r="B3" s="566"/>
      <c r="C3" s="566"/>
      <c r="D3" s="566"/>
      <c r="AG3">
        <f>VsdBot</f>
        <v>0.9</v>
      </c>
      <c r="AK3">
        <f>Iq</f>
        <v>2E-3</v>
      </c>
    </row>
    <row r="4" spans="1:69" ht="12.75" customHeight="1" x14ac:dyDescent="0.2">
      <c r="A4" s="566"/>
      <c r="B4" s="566"/>
      <c r="C4" s="566"/>
      <c r="D4" s="566"/>
    </row>
    <row r="5" spans="1:69" x14ac:dyDescent="0.2">
      <c r="A5" s="11"/>
      <c r="B5" s="12"/>
      <c r="C5" s="6"/>
      <c r="D5" s="6"/>
    </row>
    <row r="6" spans="1:69" ht="13.5" customHeight="1" thickBot="1" x14ac:dyDescent="0.25">
      <c r="A6" s="567" t="s">
        <v>198</v>
      </c>
      <c r="B6" s="567"/>
      <c r="C6" s="567"/>
      <c r="D6" s="567"/>
      <c r="BH6">
        <v>80</v>
      </c>
      <c r="BI6">
        <v>100</v>
      </c>
      <c r="BJ6">
        <v>120</v>
      </c>
      <c r="BK6">
        <v>140</v>
      </c>
      <c r="BL6">
        <v>160</v>
      </c>
      <c r="BM6">
        <v>180</v>
      </c>
      <c r="BN6">
        <v>20</v>
      </c>
      <c r="BO6">
        <v>30</v>
      </c>
      <c r="BP6">
        <v>40</v>
      </c>
      <c r="BQ6">
        <v>50</v>
      </c>
    </row>
    <row r="7" spans="1:69" ht="13.5" thickBot="1" x14ac:dyDescent="0.25">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4.5" thickBot="1" x14ac:dyDescent="0.45">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
      <c r="A9" s="24" t="s">
        <v>125</v>
      </c>
      <c r="B9" s="25" t="s">
        <v>201</v>
      </c>
      <c r="C9" s="26" t="s">
        <v>148</v>
      </c>
      <c r="D9" s="27" t="s">
        <v>188</v>
      </c>
      <c r="G9">
        <v>0</v>
      </c>
      <c r="H9">
        <f t="shared" ref="H9:H72" si="0">Iout*(G9/200)</f>
        <v>0</v>
      </c>
      <c r="I9" s="407">
        <f t="shared" ref="I9:I73" si="1">(Vout+Rdcr*H9+RdsonBot*H9)/(Vin-RdsonTop*H9+RdsonBot*H9)</f>
        <v>0.39682539682539686</v>
      </c>
      <c r="J9" s="408">
        <f t="shared" ref="J9:J72" si="2">(Vin-Vout)*I9/(Fsw*Lout2)</f>
        <v>6.5448633156966487</v>
      </c>
      <c r="K9" s="408">
        <f>H9+J9/2</f>
        <v>3.2724316578483243</v>
      </c>
      <c r="L9" s="408">
        <f>H9-J9/2</f>
        <v>-3.2724316578483243</v>
      </c>
      <c r="M9" s="63">
        <f t="shared" ref="M9:M72" si="3">IF(MIN(Vin, -L9/(CossTop+CossBot)*0.00000002)&lt;0, 0, MIN(Vin, -L9/(CossTop+CossBot)*0.00000002))</f>
        <v>12.6</v>
      </c>
      <c r="N9" s="407">
        <f t="shared" ref="N9:N40" si="4">SQRT(H9^2+(J9^2)/12)</f>
        <v>1.8893392985633835</v>
      </c>
      <c r="O9" s="407">
        <f t="shared" ref="O9:O73" si="5">(N9^2*Rdcr*(1+Ltc*Ta-Ltc*25))/(1-N9^2*Rdcr*Ltc*ThetaCa)</f>
        <v>1.787353549574382E-2</v>
      </c>
      <c r="P9">
        <f t="shared" ref="P9:P72" si="6">Core_Loss</f>
        <v>0.2</v>
      </c>
      <c r="Q9" s="407">
        <f>O9+P9</f>
        <v>0.21787353549574384</v>
      </c>
      <c r="R9" s="9">
        <f>J9/(2*SQRT(3))</f>
        <v>1.8893392985633835</v>
      </c>
      <c r="S9" s="9">
        <f t="shared" ref="S9:S73" si="7">RCoutEsr*R9^2</f>
        <v>3.5696029850959777E-3</v>
      </c>
      <c r="T9" s="9">
        <f>S9</f>
        <v>3.5696029850959777E-3</v>
      </c>
      <c r="U9" s="407">
        <f t="shared" ref="U9:U40" si="8">SQRT(I9)*SQRT(H9^2+(J9^2)/12)</f>
        <v>1.1901718871952205</v>
      </c>
      <c r="V9" s="409">
        <f t="shared" ref="V9:V73" si="9">RCinEsr*U9^2</f>
        <v>2.8330182421396652E-3</v>
      </c>
      <c r="W9" s="407">
        <f>V9</f>
        <v>2.8330182421396652E-3</v>
      </c>
      <c r="X9" s="407">
        <f t="shared" ref="X9:X40" si="10">SQRT(I9)*SQRT(H9^2+(J9^2)/12)</f>
        <v>1.1901718871952205</v>
      </c>
      <c r="Y9" s="407">
        <f t="shared" ref="Y9:Y73" si="11">RdsonTop*X9^2</f>
        <v>8.4990547264189951E-3</v>
      </c>
      <c r="Z9" s="407">
        <f t="shared" ref="Z9:Z72" si="12">IF(L9&lt;0, (Vin*K9*Tf/2)*Fsw, (Vin*L9*Tr/2+Vin*K9*Tf/2)*Fsw)</f>
        <v>1.7657271241830058E-2</v>
      </c>
      <c r="AA9" s="407">
        <f t="shared" ref="AA9:AA72" si="13">(0.5*CossTop*(Vin-M9)^2-0.5*CossBot*(Vin-M9)^2+(QossBot*(Vin-M9)/Vin)*Vin)*Fsw</f>
        <v>0</v>
      </c>
      <c r="AB9" s="407">
        <f t="shared" ref="AB9:AB72" si="14">IF(L9&gt;0,0,-L9*VsdTop*Deadtime*Fsw)</f>
        <v>2.0105820105820106E-2</v>
      </c>
      <c r="AC9" s="407">
        <f t="shared" ref="AC9:AC40" si="15">(AB9+AA9+Z9+Y9*(1+RdsonTopTc*Ta-RdsonTopTc*25))/(1-Y9*RdsonTopTc*ThetaJaTop)</f>
        <v>4.6340916871782302E-2</v>
      </c>
      <c r="AD9" s="407">
        <f t="shared" ref="AD9:AD40" si="16">SQRT(1-I9)*SQRT(H9^2+(J9^2)/12)</f>
        <v>1.4673424494732459</v>
      </c>
      <c r="AE9" s="407">
        <f t="shared" ref="AE9:AE73" si="17">RdsonBot*AD9^2</f>
        <v>1.291856318415687E-2</v>
      </c>
      <c r="AF9" s="407">
        <f t="shared" ref="AF9:AF72" si="18">IF(L9&lt;0, Deadtime*Fsw*IF(VfdSky&gt;0,0,VsdBot)*K9, Deadtime*Fsw*IF(VfdSky&gt;0,0,VsdBot)*(K9+L9))</f>
        <v>2.2619047619047618E-2</v>
      </c>
      <c r="AG9" s="407">
        <f t="shared" ref="AG9:AG40" si="19">(AF9+AE9*(1+RdsonBotTc*Ta-RdsonBotTc*25))/(1-AE9*RdsonBotTc*ThetaJaBot)</f>
        <v>3.5629667625695097E-2</v>
      </c>
      <c r="AH9" s="407">
        <f t="shared" ref="AH9:AH40" si="20">IF(RDSON_sense=1, 0, AD9^2*Rshunt)</f>
        <v>0</v>
      </c>
      <c r="AI9">
        <f t="shared" ref="AI9:AI72" si="21">2*Deadtime*Fsw*IF(VfdSky&gt;0,VfdSky,0)*H9</f>
        <v>0</v>
      </c>
      <c r="AJ9" s="408">
        <f t="shared" ref="AJ9:AJ72" si="22">IF(QrrSky&gt;0,QrrSky,QrrBot)*Fsw*(Vin-H9*RdsonTop)</f>
        <v>0.2032128</v>
      </c>
      <c r="AK9">
        <f t="shared" ref="AK9:AK73" si="23">Iq*Vin</f>
        <v>2.52E-2</v>
      </c>
      <c r="AL9" s="408">
        <f t="shared" ref="AL9:AL72" si="24">IF(Ext_VCC=1, Vdd*(QgTop+QgBot)*Fsw, Vin*(QgTop+QgBot)*Fsw)</f>
        <v>4.4160000000000005E-2</v>
      </c>
      <c r="AM9" s="408">
        <f t="shared" ref="AM9:AM73" si="25">(Vin-Vdd)*Fsw*(QgTop+QgBot)+(RdsonDRT+RdsonDRT2)*Fsw*QgTop*Vdd/(RdsonDRT+2*RGateTop+RdsonDRT2)+(RdsonDRB+RdsonDRB2)*Fsw*QgBot*Vdd/(RdsonDRB+2*RGateBot+RdsonDRB2)</f>
        <v>4.9347355729984298E-2</v>
      </c>
      <c r="AN9" s="408">
        <f>SUM(AK9:AL9)</f>
        <v>6.9360000000000005E-2</v>
      </c>
      <c r="AO9" s="408">
        <f t="shared" ref="AO9:AO40" si="26">SUM(Q9,T9,W9,AC9,AJ9,AI9,AG9,AN9, AH9)</f>
        <v>0.57881954122045687</v>
      </c>
      <c r="AP9">
        <f t="shared" ref="AP9:AP72" si="27">Vout*H9</f>
        <v>0</v>
      </c>
      <c r="AQ9" s="10">
        <f>AP9/(AP9+AO9)</f>
        <v>0</v>
      </c>
      <c r="AR9" s="63">
        <f t="shared" ref="AR9:AR40" si="28">ThetaJaTop*AC9</f>
        <v>2.3170458435891153</v>
      </c>
      <c r="AS9" s="63">
        <f>AG9*ThetaJaBot</f>
        <v>1.7814833812847548</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
      <c r="A10" s="357"/>
      <c r="B10" s="34"/>
      <c r="C10" s="26"/>
      <c r="D10" s="27"/>
      <c r="G10">
        <v>1</v>
      </c>
      <c r="H10">
        <f t="shared" si="0"/>
        <v>0.1</v>
      </c>
      <c r="I10" s="407">
        <f t="shared" ref="I10" si="30">(Vout+Rdcr*H10+RdsonBot*H10)/(Vin-RdsonTop*H10+RdsonBot*H10)</f>
        <v>0.39691269841269844</v>
      </c>
      <c r="J10" s="408">
        <f t="shared" si="2"/>
        <v>6.5463031856261011</v>
      </c>
      <c r="K10" s="408">
        <f t="shared" ref="K10:K73" si="31">H10+J10/2</f>
        <v>3.3731515928130507</v>
      </c>
      <c r="L10" s="408">
        <f t="shared" ref="L10:L73" si="32">H10-J10/2</f>
        <v>-3.1731515928130505</v>
      </c>
      <c r="M10" s="63">
        <f t="shared" si="3"/>
        <v>12.6</v>
      </c>
      <c r="N10" s="407">
        <f t="shared" si="4"/>
        <v>1.8923989492647164</v>
      </c>
      <c r="O10" s="407">
        <f t="shared" ref="O10" si="33">(N10^2*Rdcr*(1+Ltc*Ta-Ltc*25))/(1-N10^2*Rdcr*Ltc*ThetaCa)</f>
        <v>1.7931555322215624E-2</v>
      </c>
      <c r="P10">
        <f t="shared" si="6"/>
        <v>0.2</v>
      </c>
      <c r="Q10" s="407">
        <f t="shared" ref="Q10:Q73" si="34">O10+P10</f>
        <v>0.21793155532221564</v>
      </c>
      <c r="R10" s="9">
        <f>J10/(2*SQRT(3))</f>
        <v>1.8897549532090672</v>
      </c>
      <c r="S10" s="9">
        <f t="shared" ref="S10" si="35">RCoutEsr*R10^2</f>
        <v>3.5711737831782037E-3</v>
      </c>
      <c r="T10" s="9">
        <f>S10</f>
        <v>3.5711737831782037E-3</v>
      </c>
      <c r="U10" s="407">
        <f t="shared" si="8"/>
        <v>1.1922304096801393</v>
      </c>
      <c r="V10" s="409">
        <f t="shared" ref="V10" si="36">RCinEsr*U10^2</f>
        <v>2.8428266995321459E-3</v>
      </c>
      <c r="W10" s="407">
        <f>V10</f>
        <v>2.8428266995321459E-3</v>
      </c>
      <c r="X10" s="407">
        <f t="shared" si="10"/>
        <v>1.1922304096801393</v>
      </c>
      <c r="Y10" s="407">
        <f t="shared" ref="Y10" si="37">RdsonTop*X10^2</f>
        <v>8.5284800985964363E-3</v>
      </c>
      <c r="Z10" s="407">
        <f t="shared" si="12"/>
        <v>1.8200732312091496E-2</v>
      </c>
      <c r="AA10" s="407">
        <f t="shared" si="13"/>
        <v>0</v>
      </c>
      <c r="AB10" s="407">
        <f t="shared" si="14"/>
        <v>1.949584338624338E-2</v>
      </c>
      <c r="AC10" s="407">
        <f t="shared" si="15"/>
        <v>4.6304036407528566E-2</v>
      </c>
      <c r="AD10" s="407">
        <f t="shared" si="16"/>
        <v>1.469612341201628</v>
      </c>
      <c r="AE10" s="407">
        <f t="shared" ref="AE10" si="38">RdsonBot*AD10^2</f>
        <v>1.2958562600472781E-2</v>
      </c>
      <c r="AF10" s="407">
        <f t="shared" si="18"/>
        <v>2.3315223809523805E-2</v>
      </c>
      <c r="AG10" s="407">
        <f t="shared" si="19"/>
        <v>3.6368041919570868E-2</v>
      </c>
      <c r="AH10" s="407">
        <f t="shared" si="20"/>
        <v>0</v>
      </c>
      <c r="AI10">
        <f t="shared" si="21"/>
        <v>0</v>
      </c>
      <c r="AJ10" s="408">
        <f t="shared" si="22"/>
        <v>0.20320312319999997</v>
      </c>
      <c r="AK10">
        <f t="shared" si="23"/>
        <v>2.52E-2</v>
      </c>
      <c r="AL10" s="408">
        <f t="shared" si="24"/>
        <v>4.4160000000000005E-2</v>
      </c>
      <c r="AM10" s="408">
        <f t="shared" si="25"/>
        <v>4.9347355729984298E-2</v>
      </c>
      <c r="AN10" s="408">
        <f>SUM(AK10:AL10)</f>
        <v>6.9360000000000005E-2</v>
      </c>
      <c r="AO10" s="408">
        <f t="shared" si="26"/>
        <v>0.57958075733202541</v>
      </c>
      <c r="AP10">
        <f t="shared" si="27"/>
        <v>0.5</v>
      </c>
      <c r="AQ10" s="10">
        <f>AP10/(AP10+AO10)</f>
        <v>0.46314274926097521</v>
      </c>
      <c r="AR10" s="63">
        <f t="shared" si="28"/>
        <v>2.3152018203764282</v>
      </c>
      <c r="AS10" s="63">
        <f>AG10*ThetaJaBot</f>
        <v>1.8184020959785434</v>
      </c>
      <c r="AU10">
        <f>AQ10*100</f>
        <v>46.314274926097518</v>
      </c>
      <c r="BD10" s="28"/>
      <c r="BE10" s="28"/>
      <c r="BF10" s="28"/>
      <c r="BG10" s="29"/>
    </row>
    <row r="11" spans="1:69" x14ac:dyDescent="0.2">
      <c r="A11" s="30" t="s">
        <v>4</v>
      </c>
      <c r="B11" s="5">
        <f>Vin</f>
        <v>12.6</v>
      </c>
      <c r="C11" s="417" t="s">
        <v>0</v>
      </c>
      <c r="D11" s="31" t="s">
        <v>4</v>
      </c>
      <c r="G11">
        <v>2</v>
      </c>
      <c r="H11">
        <f t="shared" si="0"/>
        <v>0.2</v>
      </c>
      <c r="I11" s="407">
        <f t="shared" si="1"/>
        <v>0.39700000000000002</v>
      </c>
      <c r="J11" s="408">
        <f t="shared" si="2"/>
        <v>6.5477430555555545</v>
      </c>
      <c r="K11" s="408">
        <f t="shared" si="31"/>
        <v>3.4738715277777774</v>
      </c>
      <c r="L11" s="408">
        <f t="shared" si="32"/>
        <v>-3.0738715277777771</v>
      </c>
      <c r="M11" s="63">
        <f t="shared" si="3"/>
        <v>12.6</v>
      </c>
      <c r="N11" s="407">
        <f t="shared" si="4"/>
        <v>1.9007222118968354</v>
      </c>
      <c r="O11" s="407">
        <f t="shared" si="5"/>
        <v>1.808986626301726E-2</v>
      </c>
      <c r="P11">
        <f t="shared" si="6"/>
        <v>0.2</v>
      </c>
      <c r="Q11" s="407">
        <f t="shared" si="34"/>
        <v>0.21808986626301727</v>
      </c>
      <c r="R11" s="9">
        <f t="shared" ref="R11:R74" si="39">J11/(2*SQRT(3))</f>
        <v>1.8901706078547511</v>
      </c>
      <c r="S11" s="9">
        <f t="shared" si="7"/>
        <v>3.5727449267979995E-3</v>
      </c>
      <c r="T11" s="9">
        <f t="shared" ref="T11:T74" si="40">S11</f>
        <v>3.5727449267979995E-3</v>
      </c>
      <c r="U11" s="407">
        <f t="shared" si="8"/>
        <v>1.1976058349635765</v>
      </c>
      <c r="V11" s="409">
        <f t="shared" si="9"/>
        <v>2.8685194718776107E-3</v>
      </c>
      <c r="W11" s="407">
        <f t="shared" ref="W11:W74" si="41">V11</f>
        <v>2.8685194718776107E-3</v>
      </c>
      <c r="X11" s="407">
        <f t="shared" si="10"/>
        <v>1.1976058349635765</v>
      </c>
      <c r="Y11" s="407">
        <f t="shared" si="11"/>
        <v>8.605558415632833E-3</v>
      </c>
      <c r="Z11" s="407">
        <f t="shared" si="12"/>
        <v>1.8744193382352933E-2</v>
      </c>
      <c r="AA11" s="407">
        <f t="shared" si="13"/>
        <v>0</v>
      </c>
      <c r="AB11" s="407">
        <f t="shared" si="14"/>
        <v>1.8885866666666661E-2</v>
      </c>
      <c r="AC11" s="407">
        <f t="shared" si="15"/>
        <v>4.6315332324223538E-2</v>
      </c>
      <c r="AD11" s="407">
        <f t="shared" si="16"/>
        <v>1.4759692377753653</v>
      </c>
      <c r="AE11" s="407">
        <f t="shared" si="17"/>
        <v>1.3070911145155156E-2</v>
      </c>
      <c r="AF11" s="407">
        <f t="shared" si="18"/>
        <v>2.4011399999999995E-2</v>
      </c>
      <c r="AG11" s="407">
        <f t="shared" si="19"/>
        <v>3.7179505146794065E-2</v>
      </c>
      <c r="AH11" s="407">
        <f t="shared" si="20"/>
        <v>0</v>
      </c>
      <c r="AI11">
        <f t="shared" si="21"/>
        <v>0</v>
      </c>
      <c r="AJ11" s="408">
        <f t="shared" si="22"/>
        <v>0.20319344639999998</v>
      </c>
      <c r="AK11">
        <f t="shared" si="23"/>
        <v>2.52E-2</v>
      </c>
      <c r="AL11" s="408">
        <f t="shared" si="24"/>
        <v>4.4160000000000005E-2</v>
      </c>
      <c r="AM11" s="408">
        <f t="shared" si="25"/>
        <v>4.9347355729984298E-2</v>
      </c>
      <c r="AN11" s="408">
        <f t="shared" ref="AN11:AN74" si="42">SUM(AK11:AL11)</f>
        <v>6.9360000000000005E-2</v>
      </c>
      <c r="AO11" s="408">
        <f t="shared" si="26"/>
        <v>0.58057941453271045</v>
      </c>
      <c r="AP11">
        <f t="shared" si="27"/>
        <v>1</v>
      </c>
      <c r="AQ11" s="10">
        <f t="shared" ref="AQ11:AQ74" si="43">AP11/(AP11+AO11)</f>
        <v>0.63267937745199876</v>
      </c>
      <c r="AR11" s="63">
        <f t="shared" si="28"/>
        <v>2.3157666162111767</v>
      </c>
      <c r="AS11" s="63">
        <f t="shared" ref="AS11:AS74" si="44">AG11*ThetaJaBot</f>
        <v>1.8589752573397031</v>
      </c>
      <c r="AT11" s="10"/>
      <c r="AU11">
        <f t="shared" ref="AU11:AU74" si="45">AQ11*100</f>
        <v>63.267937745199873</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
      <c r="A12" s="32" t="s">
        <v>5</v>
      </c>
      <c r="B12" s="5">
        <f>Vout</f>
        <v>5</v>
      </c>
      <c r="C12" s="417" t="s">
        <v>0</v>
      </c>
      <c r="D12" s="31" t="s">
        <v>5</v>
      </c>
      <c r="G12">
        <v>3</v>
      </c>
      <c r="H12">
        <f t="shared" si="0"/>
        <v>0.3</v>
      </c>
      <c r="I12" s="407">
        <f t="shared" si="1"/>
        <v>0.3970873015873016</v>
      </c>
      <c r="J12" s="408">
        <f t="shared" si="2"/>
        <v>6.5491829254850078</v>
      </c>
      <c r="K12" s="408">
        <f t="shared" si="31"/>
        <v>3.5745914627425037</v>
      </c>
      <c r="L12" s="408">
        <f t="shared" si="32"/>
        <v>-2.9745914627425041</v>
      </c>
      <c r="M12" s="63">
        <f t="shared" si="3"/>
        <v>12.6</v>
      </c>
      <c r="N12" s="407">
        <f t="shared" si="4"/>
        <v>1.9142404279388114</v>
      </c>
      <c r="O12" s="407">
        <f t="shared" si="5"/>
        <v>1.8348475928397695E-2</v>
      </c>
      <c r="P12">
        <f t="shared" si="6"/>
        <v>0.2</v>
      </c>
      <c r="Q12" s="407">
        <f t="shared" si="34"/>
        <v>0.21834847592839771</v>
      </c>
      <c r="R12" s="9">
        <f t="shared" si="39"/>
        <v>1.890586262500435</v>
      </c>
      <c r="S12" s="9">
        <f t="shared" si="7"/>
        <v>3.574316415955364E-3</v>
      </c>
      <c r="T12" s="9">
        <f t="shared" si="40"/>
        <v>3.574316415955364E-3</v>
      </c>
      <c r="U12" s="407">
        <f t="shared" si="8"/>
        <v>1.2062559918084419</v>
      </c>
      <c r="V12" s="409">
        <f t="shared" si="9"/>
        <v>2.9101070355475357E-3</v>
      </c>
      <c r="W12" s="407">
        <f t="shared" si="41"/>
        <v>2.9101070355475357E-3</v>
      </c>
      <c r="X12" s="407">
        <f t="shared" si="10"/>
        <v>1.2062559918084419</v>
      </c>
      <c r="Y12" s="407">
        <f t="shared" si="11"/>
        <v>8.7303211066426072E-3</v>
      </c>
      <c r="Z12" s="407">
        <f t="shared" si="12"/>
        <v>1.9287654452614371E-2</v>
      </c>
      <c r="AA12" s="407">
        <f t="shared" si="13"/>
        <v>0</v>
      </c>
      <c r="AB12" s="407">
        <f t="shared" si="14"/>
        <v>1.8275889947089941E-2</v>
      </c>
      <c r="AC12" s="407">
        <f t="shared" si="15"/>
        <v>4.637483895341335E-2</v>
      </c>
      <c r="AD12" s="407">
        <f t="shared" si="16"/>
        <v>1.4863589398868622</v>
      </c>
      <c r="AE12" s="407">
        <f t="shared" si="17"/>
        <v>1.3255577389089581E-2</v>
      </c>
      <c r="AF12" s="407">
        <f t="shared" si="18"/>
        <v>2.4707576190476185E-2</v>
      </c>
      <c r="AG12" s="407">
        <f t="shared" si="19"/>
        <v>3.8064065813592868E-2</v>
      </c>
      <c r="AH12" s="407">
        <f t="shared" si="20"/>
        <v>0</v>
      </c>
      <c r="AI12">
        <f t="shared" si="21"/>
        <v>0</v>
      </c>
      <c r="AJ12" s="408">
        <f t="shared" si="22"/>
        <v>0.20318376960000001</v>
      </c>
      <c r="AK12">
        <f t="shared" si="23"/>
        <v>2.52E-2</v>
      </c>
      <c r="AL12" s="408">
        <f t="shared" si="24"/>
        <v>4.4160000000000005E-2</v>
      </c>
      <c r="AM12" s="408">
        <f t="shared" si="25"/>
        <v>4.9347355729984298E-2</v>
      </c>
      <c r="AN12" s="408">
        <f t="shared" si="42"/>
        <v>6.9360000000000005E-2</v>
      </c>
      <c r="AO12" s="408">
        <f t="shared" si="26"/>
        <v>0.58181557374690684</v>
      </c>
      <c r="AP12">
        <f t="shared" si="27"/>
        <v>1.5</v>
      </c>
      <c r="AQ12" s="10">
        <f t="shared" si="43"/>
        <v>0.72052492013029779</v>
      </c>
      <c r="AR12" s="63">
        <f t="shared" si="28"/>
        <v>2.3187419476706674</v>
      </c>
      <c r="AS12" s="63">
        <f t="shared" si="44"/>
        <v>1.9032032906796434</v>
      </c>
      <c r="AT12" s="10"/>
      <c r="AU12">
        <f t="shared" si="45"/>
        <v>72.052492013029777</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
      <c r="A13" s="32" t="s">
        <v>7</v>
      </c>
      <c r="B13" s="5">
        <f>Fsw/1000</f>
        <v>256</v>
      </c>
      <c r="C13" s="417" t="s">
        <v>3</v>
      </c>
      <c r="D13" s="31" t="s">
        <v>173</v>
      </c>
      <c r="G13">
        <v>4</v>
      </c>
      <c r="H13">
        <f t="shared" si="0"/>
        <v>0.4</v>
      </c>
      <c r="I13" s="407">
        <f t="shared" si="1"/>
        <v>0.39717460317460312</v>
      </c>
      <c r="J13" s="408">
        <f t="shared" si="2"/>
        <v>6.5506227954144602</v>
      </c>
      <c r="K13" s="408">
        <f t="shared" si="31"/>
        <v>3.67531139770723</v>
      </c>
      <c r="L13" s="408">
        <f t="shared" si="32"/>
        <v>-2.8753113977072302</v>
      </c>
      <c r="M13" s="63">
        <f t="shared" si="3"/>
        <v>12.6</v>
      </c>
      <c r="N13" s="407">
        <f t="shared" si="4"/>
        <v>1.9328446007504836</v>
      </c>
      <c r="O13" s="407">
        <f t="shared" si="5"/>
        <v>1.8707396750740016E-2</v>
      </c>
      <c r="P13">
        <f t="shared" si="6"/>
        <v>0.2</v>
      </c>
      <c r="Q13" s="407">
        <f t="shared" si="34"/>
        <v>0.21870739675074002</v>
      </c>
      <c r="R13" s="9">
        <f t="shared" si="39"/>
        <v>1.8910019171461188</v>
      </c>
      <c r="S13" s="9">
        <f t="shared" si="7"/>
        <v>3.5758882506502967E-3</v>
      </c>
      <c r="T13" s="9">
        <f t="shared" si="40"/>
        <v>3.5758882506502967E-3</v>
      </c>
      <c r="U13" s="407">
        <f t="shared" si="8"/>
        <v>1.2181132679093081</v>
      </c>
      <c r="V13" s="409">
        <f t="shared" si="9"/>
        <v>2.9675998669133879E-3</v>
      </c>
      <c r="W13" s="407">
        <f t="shared" si="41"/>
        <v>2.9675998669133879E-3</v>
      </c>
      <c r="X13" s="407">
        <f t="shared" si="10"/>
        <v>1.2181132679093081</v>
      </c>
      <c r="Y13" s="407">
        <f t="shared" si="11"/>
        <v>8.9027996007401636E-3</v>
      </c>
      <c r="Z13" s="407">
        <f t="shared" si="12"/>
        <v>1.9831115522875805E-2</v>
      </c>
      <c r="AA13" s="407">
        <f t="shared" si="13"/>
        <v>0</v>
      </c>
      <c r="AB13" s="407">
        <f t="shared" si="14"/>
        <v>1.7665913227513222E-2</v>
      </c>
      <c r="AC13" s="407">
        <f t="shared" si="15"/>
        <v>4.6482593393910927E-2</v>
      </c>
      <c r="AD13" s="407">
        <f t="shared" si="16"/>
        <v>1.5006959442850516</v>
      </c>
      <c r="AE13" s="407">
        <f t="shared" si="17"/>
        <v>1.3512529903161615E-2</v>
      </c>
      <c r="AF13" s="407">
        <f t="shared" si="18"/>
        <v>2.5403752380952372E-2</v>
      </c>
      <c r="AG13" s="407">
        <f t="shared" si="19"/>
        <v>3.9021738766505137E-2</v>
      </c>
      <c r="AH13" s="407">
        <f t="shared" si="20"/>
        <v>0</v>
      </c>
      <c r="AI13">
        <f t="shared" si="21"/>
        <v>0</v>
      </c>
      <c r="AJ13" s="408">
        <f t="shared" si="22"/>
        <v>0.20317409280000001</v>
      </c>
      <c r="AK13">
        <f t="shared" si="23"/>
        <v>2.52E-2</v>
      </c>
      <c r="AL13" s="408">
        <f t="shared" si="24"/>
        <v>4.4160000000000005E-2</v>
      </c>
      <c r="AM13" s="408">
        <f t="shared" si="25"/>
        <v>4.9347355729984298E-2</v>
      </c>
      <c r="AN13" s="408">
        <f t="shared" si="42"/>
        <v>6.9360000000000005E-2</v>
      </c>
      <c r="AO13" s="408">
        <f t="shared" si="26"/>
        <v>0.58328930982871985</v>
      </c>
      <c r="AP13">
        <f t="shared" si="27"/>
        <v>2</v>
      </c>
      <c r="AQ13" s="10">
        <f t="shared" si="43"/>
        <v>0.77420674192028704</v>
      </c>
      <c r="AR13" s="63">
        <f t="shared" si="28"/>
        <v>2.3241296696955462</v>
      </c>
      <c r="AS13" s="63">
        <f t="shared" si="44"/>
        <v>1.9510869383252569</v>
      </c>
      <c r="AT13" s="10"/>
      <c r="AU13">
        <f t="shared" si="45"/>
        <v>77.420674192028699</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
      <c r="A14" s="32" t="s">
        <v>6</v>
      </c>
      <c r="B14" s="5">
        <f>Iout</f>
        <v>20</v>
      </c>
      <c r="C14" s="417" t="s">
        <v>2</v>
      </c>
      <c r="D14" s="31" t="s">
        <v>174</v>
      </c>
      <c r="G14">
        <v>5</v>
      </c>
      <c r="H14">
        <f t="shared" si="0"/>
        <v>0.5</v>
      </c>
      <c r="I14" s="407">
        <f t="shared" si="1"/>
        <v>0.39726190476190482</v>
      </c>
      <c r="J14" s="408">
        <f t="shared" si="2"/>
        <v>6.5520626653439153</v>
      </c>
      <c r="K14" s="408">
        <f t="shared" si="31"/>
        <v>3.7760313326719577</v>
      </c>
      <c r="L14" s="408">
        <f t="shared" si="32"/>
        <v>-2.7760313326719577</v>
      </c>
      <c r="M14" s="63">
        <f t="shared" si="3"/>
        <v>12.6</v>
      </c>
      <c r="N14" s="407">
        <f t="shared" si="4"/>
        <v>1.9563896418870146</v>
      </c>
      <c r="O14" s="407">
        <f t="shared" si="5"/>
        <v>1.9166645986055754E-2</v>
      </c>
      <c r="P14">
        <f t="shared" si="6"/>
        <v>0.2</v>
      </c>
      <c r="Q14" s="407">
        <f t="shared" si="34"/>
        <v>0.21916664598605576</v>
      </c>
      <c r="R14" s="9">
        <f t="shared" si="39"/>
        <v>1.8914175717918034</v>
      </c>
      <c r="S14" s="9">
        <f t="shared" si="7"/>
        <v>3.5774604308828018E-3</v>
      </c>
      <c r="T14" s="9">
        <f t="shared" si="40"/>
        <v>3.5774604308828018E-3</v>
      </c>
      <c r="U14" s="407">
        <f t="shared" si="8"/>
        <v>1.2330872723263844</v>
      </c>
      <c r="V14" s="409">
        <f t="shared" si="9"/>
        <v>3.0410084423466459E-3</v>
      </c>
      <c r="W14" s="407">
        <f t="shared" si="41"/>
        <v>3.0410084423466459E-3</v>
      </c>
      <c r="X14" s="407">
        <f t="shared" si="10"/>
        <v>1.2330872723263844</v>
      </c>
      <c r="Y14" s="407">
        <f t="shared" si="11"/>
        <v>9.1230253270399367E-3</v>
      </c>
      <c r="Z14" s="407">
        <f t="shared" si="12"/>
        <v>2.0374576593137253E-2</v>
      </c>
      <c r="AA14" s="407">
        <f t="shared" si="13"/>
        <v>0</v>
      </c>
      <c r="AB14" s="407">
        <f t="shared" si="14"/>
        <v>1.7055936507936506E-2</v>
      </c>
      <c r="AC14" s="407">
        <f t="shared" si="15"/>
        <v>4.6638635518724873E-2</v>
      </c>
      <c r="AD14" s="407">
        <f t="shared" si="16"/>
        <v>1.51886675179539</v>
      </c>
      <c r="AE14" s="407">
        <f t="shared" si="17"/>
        <v>1.3841737258256872E-2</v>
      </c>
      <c r="AF14" s="407">
        <f t="shared" si="18"/>
        <v>2.6099928571428569E-2</v>
      </c>
      <c r="AG14" s="407">
        <f t="shared" si="19"/>
        <v>4.0052545191097362E-2</v>
      </c>
      <c r="AH14" s="407">
        <f t="shared" si="20"/>
        <v>0</v>
      </c>
      <c r="AI14">
        <f t="shared" si="21"/>
        <v>0</v>
      </c>
      <c r="AJ14" s="408">
        <f t="shared" si="22"/>
        <v>0.20316441599999999</v>
      </c>
      <c r="AK14">
        <f t="shared" si="23"/>
        <v>2.52E-2</v>
      </c>
      <c r="AL14" s="408">
        <f t="shared" si="24"/>
        <v>4.4160000000000005E-2</v>
      </c>
      <c r="AM14" s="408">
        <f t="shared" si="25"/>
        <v>4.9347355729984298E-2</v>
      </c>
      <c r="AN14" s="408">
        <f t="shared" si="42"/>
        <v>6.9360000000000005E-2</v>
      </c>
      <c r="AO14" s="408">
        <f t="shared" si="26"/>
        <v>0.58500071156910738</v>
      </c>
      <c r="AP14">
        <f t="shared" si="27"/>
        <v>2.5</v>
      </c>
      <c r="AQ14" s="10">
        <f t="shared" si="43"/>
        <v>0.81037258455880168</v>
      </c>
      <c r="AR14" s="63">
        <f t="shared" si="28"/>
        <v>2.3319317759362437</v>
      </c>
      <c r="AS14" s="63">
        <f t="shared" si="44"/>
        <v>2.0026272595548682</v>
      </c>
      <c r="AT14" s="10"/>
      <c r="AU14">
        <f t="shared" si="45"/>
        <v>81.037258455880163</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
      <c r="A15" s="33" t="s">
        <v>156</v>
      </c>
      <c r="B15" s="5">
        <f>Ta</f>
        <v>25</v>
      </c>
      <c r="C15" s="417" t="s">
        <v>719</v>
      </c>
      <c r="D15" s="31" t="s">
        <v>175</v>
      </c>
      <c r="G15">
        <v>6</v>
      </c>
      <c r="H15">
        <f t="shared" si="0"/>
        <v>0.6</v>
      </c>
      <c r="I15" s="407">
        <f t="shared" si="1"/>
        <v>0.39734920634920634</v>
      </c>
      <c r="J15" s="408">
        <f t="shared" si="2"/>
        <v>6.5535025352733678</v>
      </c>
      <c r="K15" s="408">
        <f t="shared" si="31"/>
        <v>3.876751267636684</v>
      </c>
      <c r="L15" s="408">
        <f t="shared" si="32"/>
        <v>-2.6767512676366838</v>
      </c>
      <c r="M15" s="63">
        <f t="shared" si="3"/>
        <v>12.6</v>
      </c>
      <c r="N15" s="407">
        <f t="shared" si="4"/>
        <v>1.9846997144789615</v>
      </c>
      <c r="O15" s="407">
        <f t="shared" si="5"/>
        <v>1.9726245716058993E-2</v>
      </c>
      <c r="P15">
        <f t="shared" si="6"/>
        <v>0.2</v>
      </c>
      <c r="Q15" s="407">
        <f t="shared" si="34"/>
        <v>0.219726245716059</v>
      </c>
      <c r="R15" s="9">
        <f t="shared" si="39"/>
        <v>1.8918332264374871</v>
      </c>
      <c r="S15" s="9">
        <f t="shared" si="7"/>
        <v>3.5790329566528722E-3</v>
      </c>
      <c r="T15" s="9">
        <f t="shared" si="40"/>
        <v>3.5790329566528722E-3</v>
      </c>
      <c r="U15" s="407">
        <f t="shared" si="8"/>
        <v>1.2510681912307522</v>
      </c>
      <c r="V15" s="409">
        <f t="shared" si="9"/>
        <v>3.1303432382187718E-3</v>
      </c>
      <c r="W15" s="407">
        <f t="shared" si="41"/>
        <v>3.1303432382187718E-3</v>
      </c>
      <c r="X15" s="407">
        <f t="shared" si="10"/>
        <v>1.2510681912307522</v>
      </c>
      <c r="Y15" s="407">
        <f t="shared" si="11"/>
        <v>9.3910297146563154E-3</v>
      </c>
      <c r="Z15" s="407">
        <f t="shared" si="12"/>
        <v>2.0918037663398684E-2</v>
      </c>
      <c r="AA15" s="407">
        <f t="shared" si="13"/>
        <v>0</v>
      </c>
      <c r="AB15" s="407">
        <f t="shared" si="14"/>
        <v>1.6445959788359783E-2</v>
      </c>
      <c r="AC15" s="407">
        <f t="shared" si="15"/>
        <v>4.684300798239209E-2</v>
      </c>
      <c r="AD15" s="407">
        <f t="shared" si="16"/>
        <v>1.5407340255681659</v>
      </c>
      <c r="AE15" s="407">
        <f t="shared" si="17"/>
        <v>1.4243168025260912E-2</v>
      </c>
      <c r="AF15" s="407">
        <f t="shared" si="18"/>
        <v>2.6796104761904759E-2</v>
      </c>
      <c r="AG15" s="407">
        <f t="shared" si="19"/>
        <v>4.1156512612059132E-2</v>
      </c>
      <c r="AH15" s="407">
        <f t="shared" si="20"/>
        <v>0</v>
      </c>
      <c r="AI15">
        <f t="shared" si="21"/>
        <v>0</v>
      </c>
      <c r="AJ15" s="408">
        <f t="shared" si="22"/>
        <v>0.20315473919999999</v>
      </c>
      <c r="AK15">
        <f t="shared" si="23"/>
        <v>2.52E-2</v>
      </c>
      <c r="AL15" s="408">
        <f t="shared" si="24"/>
        <v>4.4160000000000005E-2</v>
      </c>
      <c r="AM15" s="408">
        <f t="shared" si="25"/>
        <v>4.9347355729984298E-2</v>
      </c>
      <c r="AN15" s="408">
        <f t="shared" si="42"/>
        <v>6.9360000000000005E-2</v>
      </c>
      <c r="AO15" s="408">
        <f t="shared" si="26"/>
        <v>0.58694988170538187</v>
      </c>
      <c r="AP15">
        <f t="shared" si="27"/>
        <v>3</v>
      </c>
      <c r="AQ15" s="10">
        <f t="shared" si="43"/>
        <v>0.83636518461018416</v>
      </c>
      <c r="AR15" s="63">
        <f t="shared" si="28"/>
        <v>2.3421503991196047</v>
      </c>
      <c r="AS15" s="63">
        <f t="shared" si="44"/>
        <v>2.0578256306029568</v>
      </c>
      <c r="AT15" s="10"/>
      <c r="AU15">
        <f t="shared" si="45"/>
        <v>83.636518461018412</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
      <c r="A16" s="406" t="s">
        <v>618</v>
      </c>
      <c r="B16" s="5">
        <v>7.5</v>
      </c>
      <c r="C16" s="417" t="s">
        <v>0</v>
      </c>
      <c r="D16" s="417" t="s">
        <v>623</v>
      </c>
      <c r="G16">
        <v>7</v>
      </c>
      <c r="H16">
        <f t="shared" si="0"/>
        <v>0.70000000000000007</v>
      </c>
      <c r="I16" s="407">
        <f t="shared" si="1"/>
        <v>0.39743650793650792</v>
      </c>
      <c r="J16" s="408">
        <f t="shared" si="2"/>
        <v>6.5549424052028202</v>
      </c>
      <c r="K16" s="408">
        <f t="shared" si="31"/>
        <v>3.9774712026014103</v>
      </c>
      <c r="L16" s="408">
        <f t="shared" si="32"/>
        <v>-2.5774712026014099</v>
      </c>
      <c r="M16" s="63">
        <f t="shared" si="3"/>
        <v>12.6</v>
      </c>
      <c r="N16" s="407">
        <f t="shared" si="4"/>
        <v>2.0175742434816399</v>
      </c>
      <c r="O16" s="407">
        <f t="shared" si="5"/>
        <v>2.0386222850821218E-2</v>
      </c>
      <c r="P16">
        <f t="shared" si="6"/>
        <v>0.2</v>
      </c>
      <c r="Q16" s="407">
        <f t="shared" si="34"/>
        <v>0.22038622285082124</v>
      </c>
      <c r="R16" s="9">
        <f t="shared" si="39"/>
        <v>1.8922488810831708</v>
      </c>
      <c r="S16" s="9">
        <f t="shared" si="7"/>
        <v>3.5806058279605119E-3</v>
      </c>
      <c r="T16" s="9">
        <f t="shared" si="40"/>
        <v>3.5806058279605119E-3</v>
      </c>
      <c r="U16" s="407">
        <f t="shared" si="8"/>
        <v>1.2719305662852132</v>
      </c>
      <c r="V16" s="409">
        <f t="shared" si="9"/>
        <v>3.2356147309012461E-3</v>
      </c>
      <c r="W16" s="407">
        <f t="shared" si="41"/>
        <v>3.2356147309012461E-3</v>
      </c>
      <c r="X16" s="407">
        <f t="shared" si="10"/>
        <v>1.2719305662852132</v>
      </c>
      <c r="Y16" s="407">
        <f t="shared" si="11"/>
        <v>9.7068441927037393E-3</v>
      </c>
      <c r="Z16" s="407">
        <f t="shared" si="12"/>
        <v>2.1461498733660121E-2</v>
      </c>
      <c r="AA16" s="407">
        <f t="shared" si="13"/>
        <v>0</v>
      </c>
      <c r="AB16" s="407">
        <f t="shared" si="14"/>
        <v>1.5835983068783061E-2</v>
      </c>
      <c r="AC16" s="407">
        <f t="shared" si="15"/>
        <v>4.7095756228716867E-2</v>
      </c>
      <c r="AD16" s="407">
        <f t="shared" si="16"/>
        <v>1.5661412651832811</v>
      </c>
      <c r="AE16" s="407">
        <f t="shared" si="17"/>
        <v>1.4716790775059331E-2</v>
      </c>
      <c r="AF16" s="407">
        <f t="shared" si="18"/>
        <v>2.7492280952380946E-2</v>
      </c>
      <c r="AG16" s="407">
        <f t="shared" si="19"/>
        <v>4.2333674894673136E-2</v>
      </c>
      <c r="AH16" s="407">
        <f t="shared" si="20"/>
        <v>0</v>
      </c>
      <c r="AI16">
        <f t="shared" si="21"/>
        <v>0</v>
      </c>
      <c r="AJ16" s="408">
        <f t="shared" si="22"/>
        <v>0.20314506239999999</v>
      </c>
      <c r="AK16">
        <f t="shared" si="23"/>
        <v>2.52E-2</v>
      </c>
      <c r="AL16" s="408">
        <f t="shared" si="24"/>
        <v>4.4160000000000005E-2</v>
      </c>
      <c r="AM16" s="408">
        <f t="shared" si="25"/>
        <v>4.9347355729984298E-2</v>
      </c>
      <c r="AN16" s="408">
        <f t="shared" si="42"/>
        <v>6.9360000000000005E-2</v>
      </c>
      <c r="AO16" s="408">
        <f t="shared" si="26"/>
        <v>0.5891369369330729</v>
      </c>
      <c r="AP16">
        <f t="shared" si="27"/>
        <v>3.5000000000000004</v>
      </c>
      <c r="AQ16" s="10">
        <f t="shared" si="43"/>
        <v>0.85592633701943566</v>
      </c>
      <c r="AR16" s="63">
        <f t="shared" si="28"/>
        <v>2.3547878114358434</v>
      </c>
      <c r="AS16" s="63">
        <f t="shared" si="44"/>
        <v>2.1166837447336566</v>
      </c>
      <c r="AT16" s="10"/>
      <c r="AU16">
        <f t="shared" si="45"/>
        <v>85.592633701943569</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
      <c r="A17" s="34" t="s">
        <v>128</v>
      </c>
      <c r="B17" s="26" t="s">
        <v>201</v>
      </c>
      <c r="C17" s="34" t="s">
        <v>148</v>
      </c>
      <c r="D17" s="27" t="s">
        <v>188</v>
      </c>
      <c r="G17">
        <v>8</v>
      </c>
      <c r="H17">
        <f t="shared" si="0"/>
        <v>0.8</v>
      </c>
      <c r="I17" s="407">
        <f t="shared" si="1"/>
        <v>0.3975238095238095</v>
      </c>
      <c r="J17" s="408">
        <f t="shared" si="2"/>
        <v>6.5563822751322736</v>
      </c>
      <c r="K17" s="408">
        <f t="shared" si="31"/>
        <v>4.0781911375661366</v>
      </c>
      <c r="L17" s="408">
        <f t="shared" si="32"/>
        <v>-2.478191137566137</v>
      </c>
      <c r="M17" s="63">
        <f t="shared" si="3"/>
        <v>12.6</v>
      </c>
      <c r="N17" s="407">
        <f t="shared" si="4"/>
        <v>2.0547941611766665</v>
      </c>
      <c r="O17" s="407">
        <f t="shared" si="5"/>
        <v>2.1146609132006944E-2</v>
      </c>
      <c r="P17">
        <f t="shared" si="6"/>
        <v>0.2</v>
      </c>
      <c r="Q17" s="407">
        <f t="shared" si="34"/>
        <v>0.22114660913200695</v>
      </c>
      <c r="R17" s="9">
        <f t="shared" si="39"/>
        <v>1.8926645357288547</v>
      </c>
      <c r="S17" s="9">
        <f t="shared" si="7"/>
        <v>3.5821790448057216E-3</v>
      </c>
      <c r="T17" s="9">
        <f t="shared" si="40"/>
        <v>3.5821790448057216E-3</v>
      </c>
      <c r="U17" s="407">
        <f t="shared" si="8"/>
        <v>1.2955372238506961</v>
      </c>
      <c r="V17" s="409">
        <f t="shared" si="9"/>
        <v>3.356833396765538E-3</v>
      </c>
      <c r="W17" s="407">
        <f t="shared" si="41"/>
        <v>3.356833396765538E-3</v>
      </c>
      <c r="X17" s="407">
        <f t="shared" si="10"/>
        <v>1.2955372238506961</v>
      </c>
      <c r="Y17" s="407">
        <f t="shared" si="11"/>
        <v>1.0070500190296613E-2</v>
      </c>
      <c r="Z17" s="407">
        <f t="shared" si="12"/>
        <v>2.2004959803921555E-2</v>
      </c>
      <c r="AA17" s="407">
        <f t="shared" si="13"/>
        <v>0</v>
      </c>
      <c r="AB17" s="407">
        <f t="shared" si="14"/>
        <v>1.5226006349206343E-2</v>
      </c>
      <c r="AC17" s="407">
        <f t="shared" si="15"/>
        <v>4.7396928498918078E-2</v>
      </c>
      <c r="AD17" s="407">
        <f t="shared" si="16"/>
        <v>1.5949176613301863</v>
      </c>
      <c r="AE17" s="407">
        <f t="shared" si="17"/>
        <v>1.5262574078537705E-2</v>
      </c>
      <c r="AF17" s="407">
        <f t="shared" si="18"/>
        <v>2.8188457142857136E-2</v>
      </c>
      <c r="AG17" s="407">
        <f t="shared" si="19"/>
        <v>4.3584072247659693E-2</v>
      </c>
      <c r="AH17" s="407">
        <f t="shared" si="20"/>
        <v>0</v>
      </c>
      <c r="AI17">
        <f t="shared" si="21"/>
        <v>0</v>
      </c>
      <c r="AJ17" s="408">
        <f t="shared" si="22"/>
        <v>0.2031353856</v>
      </c>
      <c r="AK17">
        <f t="shared" si="23"/>
        <v>2.52E-2</v>
      </c>
      <c r="AL17" s="408">
        <f t="shared" si="24"/>
        <v>4.4160000000000005E-2</v>
      </c>
      <c r="AM17" s="408">
        <f t="shared" si="25"/>
        <v>4.9347355729984298E-2</v>
      </c>
      <c r="AN17" s="408">
        <f t="shared" si="42"/>
        <v>6.9360000000000005E-2</v>
      </c>
      <c r="AO17" s="408">
        <f t="shared" si="26"/>
        <v>0.59156200792015601</v>
      </c>
      <c r="AP17">
        <f t="shared" si="27"/>
        <v>4</v>
      </c>
      <c r="AQ17" s="10">
        <f t="shared" si="43"/>
        <v>0.87116323227264525</v>
      </c>
      <c r="AR17" s="63">
        <f t="shared" si="28"/>
        <v>2.3698464249459041</v>
      </c>
      <c r="AS17" s="63">
        <f t="shared" si="44"/>
        <v>2.1792036123829845</v>
      </c>
      <c r="AT17" s="10"/>
      <c r="AU17">
        <f t="shared" si="45"/>
        <v>87.11632322726453</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
      <c r="A18" s="45" t="s">
        <v>126</v>
      </c>
      <c r="B18" s="48">
        <f>Lout2*1000000</f>
        <v>1.8</v>
      </c>
      <c r="C18" s="419" t="s">
        <v>11</v>
      </c>
      <c r="D18" s="31" t="s">
        <v>190</v>
      </c>
      <c r="G18">
        <v>9</v>
      </c>
      <c r="H18">
        <f t="shared" si="0"/>
        <v>0.89999999999999991</v>
      </c>
      <c r="I18" s="407">
        <f t="shared" si="1"/>
        <v>0.39761111111111114</v>
      </c>
      <c r="J18" s="408">
        <f t="shared" si="2"/>
        <v>6.5578221450617278</v>
      </c>
      <c r="K18" s="408">
        <f t="shared" si="31"/>
        <v>4.1789110725308642</v>
      </c>
      <c r="L18" s="408">
        <f t="shared" si="32"/>
        <v>-2.378911072530864</v>
      </c>
      <c r="M18" s="63">
        <f t="shared" si="3"/>
        <v>12.6</v>
      </c>
      <c r="N18" s="407">
        <f t="shared" si="4"/>
        <v>2.0961280035313923</v>
      </c>
      <c r="O18" s="407">
        <f t="shared" si="5"/>
        <v>2.2007441136691255E-2</v>
      </c>
      <c r="P18">
        <f t="shared" si="6"/>
        <v>0.2</v>
      </c>
      <c r="Q18" s="407">
        <f t="shared" si="34"/>
        <v>0.22200744113669127</v>
      </c>
      <c r="R18" s="9">
        <f t="shared" si="39"/>
        <v>1.8930801903745389</v>
      </c>
      <c r="S18" s="9">
        <f t="shared" si="7"/>
        <v>3.5837526071885004E-3</v>
      </c>
      <c r="T18" s="9">
        <f t="shared" si="40"/>
        <v>3.5837526071885004E-3</v>
      </c>
      <c r="U18" s="407">
        <f t="shared" si="8"/>
        <v>1.3217431127460286</v>
      </c>
      <c r="V18" s="409">
        <f t="shared" si="9"/>
        <v>3.4940097121831221E-3</v>
      </c>
      <c r="W18" s="407">
        <f t="shared" si="41"/>
        <v>3.4940097121831221E-3</v>
      </c>
      <c r="X18" s="407">
        <f t="shared" si="10"/>
        <v>1.3217431127460286</v>
      </c>
      <c r="Y18" s="407">
        <f t="shared" si="11"/>
        <v>1.0482029136549366E-2</v>
      </c>
      <c r="Z18" s="407">
        <f t="shared" si="12"/>
        <v>2.2548420874183E-2</v>
      </c>
      <c r="AA18" s="407">
        <f t="shared" si="13"/>
        <v>0</v>
      </c>
      <c r="AB18" s="407">
        <f t="shared" si="14"/>
        <v>1.4616029629629627E-2</v>
      </c>
      <c r="AC18" s="407">
        <f t="shared" si="15"/>
        <v>4.7746575840187454E-2</v>
      </c>
      <c r="AD18" s="407">
        <f t="shared" si="16"/>
        <v>1.6268828326271501</v>
      </c>
      <c r="AE18" s="407">
        <f t="shared" si="17"/>
        <v>1.5880486506581637E-2</v>
      </c>
      <c r="AF18" s="407">
        <f t="shared" si="18"/>
        <v>2.8884633333333333E-2</v>
      </c>
      <c r="AG18" s="407">
        <f t="shared" si="19"/>
        <v>4.4907751227396486E-2</v>
      </c>
      <c r="AH18" s="407">
        <f t="shared" si="20"/>
        <v>0</v>
      </c>
      <c r="AI18">
        <f t="shared" si="21"/>
        <v>0</v>
      </c>
      <c r="AJ18" s="408">
        <f t="shared" si="22"/>
        <v>0.2031257088</v>
      </c>
      <c r="AK18">
        <f t="shared" si="23"/>
        <v>2.52E-2</v>
      </c>
      <c r="AL18" s="408">
        <f t="shared" si="24"/>
        <v>4.4160000000000005E-2</v>
      </c>
      <c r="AM18" s="408">
        <f t="shared" si="25"/>
        <v>4.9347355729984298E-2</v>
      </c>
      <c r="AN18" s="408">
        <f t="shared" si="42"/>
        <v>6.9360000000000005E-2</v>
      </c>
      <c r="AO18" s="408">
        <f t="shared" si="26"/>
        <v>0.59422523932364679</v>
      </c>
      <c r="AP18">
        <f t="shared" si="27"/>
        <v>4.5</v>
      </c>
      <c r="AQ18" s="10">
        <f t="shared" si="43"/>
        <v>0.88335316728112689</v>
      </c>
      <c r="AR18" s="63">
        <f t="shared" si="28"/>
        <v>2.3873287920093729</v>
      </c>
      <c r="AS18" s="63">
        <f t="shared" si="44"/>
        <v>2.2453875613698244</v>
      </c>
      <c r="AT18" s="10"/>
      <c r="AU18">
        <f t="shared" si="45"/>
        <v>88.335316728112687</v>
      </c>
      <c r="BC18" t="s">
        <v>233</v>
      </c>
      <c r="BE18" s="28"/>
      <c r="BF18" s="29"/>
    </row>
    <row r="19" spans="1:69" x14ac:dyDescent="0.2">
      <c r="A19" s="45" t="s">
        <v>12</v>
      </c>
      <c r="B19" s="49">
        <f>Rdcr*1000</f>
        <v>5</v>
      </c>
      <c r="C19" s="417" t="s">
        <v>621</v>
      </c>
      <c r="D19" s="31" t="s">
        <v>191</v>
      </c>
      <c r="G19">
        <v>10</v>
      </c>
      <c r="H19">
        <f t="shared" si="0"/>
        <v>1</v>
      </c>
      <c r="I19" s="407">
        <f t="shared" si="1"/>
        <v>0.39769841269841272</v>
      </c>
      <c r="J19" s="408">
        <f t="shared" si="2"/>
        <v>6.5592620149911811</v>
      </c>
      <c r="K19" s="408">
        <f t="shared" si="31"/>
        <v>4.2796310074955901</v>
      </c>
      <c r="L19" s="408">
        <f t="shared" si="32"/>
        <v>-2.2796310074955906</v>
      </c>
      <c r="M19" s="63">
        <f t="shared" si="3"/>
        <v>12.6</v>
      </c>
      <c r="N19" s="407">
        <f t="shared" si="4"/>
        <v>2.1413375528180625</v>
      </c>
      <c r="O19" s="407">
        <f t="shared" si="5"/>
        <v>2.2968760281759894E-2</v>
      </c>
      <c r="P19">
        <f t="shared" si="6"/>
        <v>0.2</v>
      </c>
      <c r="Q19" s="407">
        <f t="shared" si="34"/>
        <v>0.22296876028175991</v>
      </c>
      <c r="R19" s="9">
        <f t="shared" si="39"/>
        <v>1.8934958450202228</v>
      </c>
      <c r="S19" s="9">
        <f t="shared" si="7"/>
        <v>3.5853265151088477E-3</v>
      </c>
      <c r="T19" s="9">
        <f t="shared" si="40"/>
        <v>3.5853265151088477E-3</v>
      </c>
      <c r="U19" s="407">
        <f t="shared" si="8"/>
        <v>1.3503988583980413</v>
      </c>
      <c r="V19" s="409">
        <f t="shared" si="9"/>
        <v>3.6471541535254668E-3</v>
      </c>
      <c r="W19" s="407">
        <f t="shared" si="41"/>
        <v>3.6471541535254668E-3</v>
      </c>
      <c r="X19" s="407">
        <f t="shared" si="10"/>
        <v>1.3503988583980413</v>
      </c>
      <c r="Y19" s="407">
        <f t="shared" si="11"/>
        <v>1.0941462460576401E-2</v>
      </c>
      <c r="Z19" s="407">
        <f t="shared" si="12"/>
        <v>2.3091881944444437E-2</v>
      </c>
      <c r="AA19" s="407">
        <f t="shared" si="13"/>
        <v>0</v>
      </c>
      <c r="AB19" s="407">
        <f t="shared" si="14"/>
        <v>1.4006052910052906E-2</v>
      </c>
      <c r="AC19" s="407">
        <f t="shared" si="15"/>
        <v>4.8144752114661016E-2</v>
      </c>
      <c r="AD19" s="407">
        <f t="shared" si="16"/>
        <v>1.6618512082452255</v>
      </c>
      <c r="AE19" s="407">
        <f t="shared" si="17"/>
        <v>1.6570496630076696E-2</v>
      </c>
      <c r="AF19" s="407">
        <f t="shared" si="18"/>
        <v>2.9580809523809516E-2</v>
      </c>
      <c r="AG19" s="407">
        <f t="shared" si="19"/>
        <v>4.6304764743513992E-2</v>
      </c>
      <c r="AH19" s="407">
        <f t="shared" si="20"/>
        <v>0</v>
      </c>
      <c r="AI19">
        <f t="shared" si="21"/>
        <v>0</v>
      </c>
      <c r="AJ19" s="408">
        <f t="shared" si="22"/>
        <v>0.203116032</v>
      </c>
      <c r="AK19">
        <f t="shared" si="23"/>
        <v>2.52E-2</v>
      </c>
      <c r="AL19" s="408">
        <f t="shared" si="24"/>
        <v>4.4160000000000005E-2</v>
      </c>
      <c r="AM19" s="408">
        <f t="shared" si="25"/>
        <v>4.9347355729984298E-2</v>
      </c>
      <c r="AN19" s="408">
        <f t="shared" si="42"/>
        <v>6.9360000000000005E-2</v>
      </c>
      <c r="AO19" s="408">
        <f t="shared" si="26"/>
        <v>0.59712678980856926</v>
      </c>
      <c r="AP19">
        <f t="shared" si="27"/>
        <v>5</v>
      </c>
      <c r="AQ19" s="10">
        <f t="shared" si="43"/>
        <v>0.89331547913192944</v>
      </c>
      <c r="AR19" s="63">
        <f t="shared" si="28"/>
        <v>2.4072376057330507</v>
      </c>
      <c r="AS19" s="63">
        <f t="shared" si="44"/>
        <v>2.3152382371756994</v>
      </c>
      <c r="AT19" s="10"/>
      <c r="AU19">
        <f t="shared" si="45"/>
        <v>89.331547913192949</v>
      </c>
      <c r="BC19" t="s">
        <v>234</v>
      </c>
      <c r="BE19" s="28"/>
      <c r="BF19" s="29"/>
    </row>
    <row r="20" spans="1:69" x14ac:dyDescent="0.2">
      <c r="A20" s="45" t="s">
        <v>155</v>
      </c>
      <c r="B20" s="49">
        <f>Ltc*1000000</f>
        <v>4000</v>
      </c>
      <c r="C20" s="419" t="s">
        <v>154</v>
      </c>
      <c r="D20" s="31" t="s">
        <v>176</v>
      </c>
      <c r="G20">
        <v>11</v>
      </c>
      <c r="H20">
        <f t="shared" si="0"/>
        <v>1.1000000000000001</v>
      </c>
      <c r="I20" s="407">
        <f t="shared" si="1"/>
        <v>0.39778571428571424</v>
      </c>
      <c r="J20" s="408">
        <f t="shared" si="2"/>
        <v>6.5607018849206336</v>
      </c>
      <c r="K20" s="408">
        <f t="shared" si="31"/>
        <v>4.3803509424603169</v>
      </c>
      <c r="L20" s="408">
        <f t="shared" si="32"/>
        <v>-2.1803509424603167</v>
      </c>
      <c r="M20" s="63">
        <f t="shared" si="3"/>
        <v>12.6</v>
      </c>
      <c r="N20" s="407">
        <f t="shared" si="4"/>
        <v>2.1901828162431469</v>
      </c>
      <c r="O20" s="407">
        <f t="shared" si="5"/>
        <v>2.4030612828893027E-2</v>
      </c>
      <c r="P20">
        <f t="shared" si="6"/>
        <v>0.2</v>
      </c>
      <c r="Q20" s="407">
        <f t="shared" si="34"/>
        <v>0.22403061282889303</v>
      </c>
      <c r="R20" s="9">
        <f t="shared" si="39"/>
        <v>1.8939114996659066</v>
      </c>
      <c r="S20" s="9">
        <f t="shared" si="7"/>
        <v>3.5869007685667633E-3</v>
      </c>
      <c r="T20" s="9">
        <f t="shared" si="40"/>
        <v>3.5869007685667633E-3</v>
      </c>
      <c r="U20" s="407">
        <f t="shared" si="8"/>
        <v>1.3813539005562698</v>
      </c>
      <c r="V20" s="409">
        <f t="shared" si="9"/>
        <v>3.8162771971640419E-3</v>
      </c>
      <c r="W20" s="407">
        <f t="shared" si="41"/>
        <v>3.8162771971640419E-3</v>
      </c>
      <c r="X20" s="407">
        <f t="shared" si="10"/>
        <v>1.3813539005562698</v>
      </c>
      <c r="Y20" s="407">
        <f t="shared" si="11"/>
        <v>1.1448831591492126E-2</v>
      </c>
      <c r="Z20" s="407">
        <f t="shared" si="12"/>
        <v>2.3635343014705872E-2</v>
      </c>
      <c r="AA20" s="407">
        <f t="shared" si="13"/>
        <v>0</v>
      </c>
      <c r="AB20" s="407">
        <f t="shared" si="14"/>
        <v>1.3396076190476185E-2</v>
      </c>
      <c r="AC20" s="407">
        <f t="shared" si="15"/>
        <v>4.8591514008806673E-2</v>
      </c>
      <c r="AD20" s="407">
        <f t="shared" si="16"/>
        <v>1.6996358933562039</v>
      </c>
      <c r="AE20" s="407">
        <f t="shared" si="17"/>
        <v>1.7332573019908447E-2</v>
      </c>
      <c r="AF20" s="407">
        <f t="shared" si="18"/>
        <v>3.027698571428571E-2</v>
      </c>
      <c r="AG20" s="407">
        <f t="shared" si="19"/>
        <v>4.7775172065868232E-2</v>
      </c>
      <c r="AH20" s="407">
        <f t="shared" si="20"/>
        <v>0</v>
      </c>
      <c r="AI20">
        <f t="shared" si="21"/>
        <v>0</v>
      </c>
      <c r="AJ20" s="408">
        <f t="shared" si="22"/>
        <v>0.20310635519999998</v>
      </c>
      <c r="AK20">
        <f t="shared" si="23"/>
        <v>2.52E-2</v>
      </c>
      <c r="AL20" s="408">
        <f t="shared" si="24"/>
        <v>4.4160000000000005E-2</v>
      </c>
      <c r="AM20" s="408">
        <f t="shared" si="25"/>
        <v>4.9347355729984298E-2</v>
      </c>
      <c r="AN20" s="408">
        <f t="shared" si="42"/>
        <v>6.9360000000000005E-2</v>
      </c>
      <c r="AO20" s="408">
        <f t="shared" si="26"/>
        <v>0.60026683206929865</v>
      </c>
      <c r="AP20">
        <f t="shared" si="27"/>
        <v>5.5</v>
      </c>
      <c r="AQ20" s="10">
        <f t="shared" si="43"/>
        <v>0.90159990561172232</v>
      </c>
      <c r="AR20" s="63">
        <f t="shared" si="28"/>
        <v>2.4295757004403336</v>
      </c>
      <c r="AS20" s="63">
        <f t="shared" si="44"/>
        <v>2.3887586032934118</v>
      </c>
      <c r="AT20" s="10"/>
      <c r="AU20">
        <f t="shared" si="45"/>
        <v>90.159990561172236</v>
      </c>
      <c r="BE20" s="28"/>
      <c r="BF20" s="29"/>
    </row>
    <row r="21" spans="1:69" x14ac:dyDescent="0.2">
      <c r="A21" s="35" t="s">
        <v>250</v>
      </c>
      <c r="B21" s="49">
        <f>ThetaCa</f>
        <v>20</v>
      </c>
      <c r="C21" s="419" t="s">
        <v>720</v>
      </c>
      <c r="D21" s="36" t="s">
        <v>251</v>
      </c>
      <c r="G21">
        <v>12</v>
      </c>
      <c r="H21">
        <f t="shared" si="0"/>
        <v>1.2</v>
      </c>
      <c r="I21" s="407">
        <f t="shared" si="1"/>
        <v>0.39787301587301593</v>
      </c>
      <c r="J21" s="408">
        <f t="shared" si="2"/>
        <v>6.5621417548500887</v>
      </c>
      <c r="K21" s="408">
        <f t="shared" si="31"/>
        <v>4.4810708774250445</v>
      </c>
      <c r="L21" s="408">
        <f t="shared" si="32"/>
        <v>-2.0810708774250442</v>
      </c>
      <c r="M21" s="63">
        <f t="shared" si="3"/>
        <v>12.6</v>
      </c>
      <c r="N21" s="407">
        <f t="shared" si="4"/>
        <v>2.2424262234379637</v>
      </c>
      <c r="O21" s="407">
        <f t="shared" si="5"/>
        <v>2.5193049890133764E-2</v>
      </c>
      <c r="P21">
        <f t="shared" si="6"/>
        <v>0.2</v>
      </c>
      <c r="Q21" s="407">
        <f t="shared" si="34"/>
        <v>0.22519304989013378</v>
      </c>
      <c r="R21" s="9">
        <f t="shared" si="39"/>
        <v>1.8943271543115912</v>
      </c>
      <c r="S21" s="9">
        <f t="shared" si="7"/>
        <v>3.5884753675622509E-3</v>
      </c>
      <c r="T21" s="9">
        <f t="shared" si="40"/>
        <v>3.5884753675622509E-3</v>
      </c>
      <c r="U21" s="407">
        <f t="shared" si="8"/>
        <v>1.4144591403554803</v>
      </c>
      <c r="V21" s="409">
        <f t="shared" si="9"/>
        <v>4.001389319470328E-3</v>
      </c>
      <c r="W21" s="407">
        <f t="shared" si="41"/>
        <v>4.001389319470328E-3</v>
      </c>
      <c r="X21" s="407">
        <f t="shared" si="10"/>
        <v>1.4144591403554803</v>
      </c>
      <c r="Y21" s="407">
        <f t="shared" si="11"/>
        <v>1.2004167958410984E-2</v>
      </c>
      <c r="Z21" s="407">
        <f t="shared" si="12"/>
        <v>2.4178804084967316E-2</v>
      </c>
      <c r="AA21" s="407">
        <f t="shared" si="13"/>
        <v>0</v>
      </c>
      <c r="AB21" s="407">
        <f t="shared" si="14"/>
        <v>1.2786099470899469E-2</v>
      </c>
      <c r="AC21" s="407">
        <f t="shared" si="15"/>
        <v>4.9086921043230612E-2</v>
      </c>
      <c r="AD21" s="407">
        <f t="shared" si="16"/>
        <v>1.7400519267616941</v>
      </c>
      <c r="AE21" s="407">
        <f t="shared" si="17"/>
        <v>1.8166684246962505E-2</v>
      </c>
      <c r="AF21" s="407">
        <f t="shared" si="18"/>
        <v>3.0973161904761907E-2</v>
      </c>
      <c r="AG21" s="407">
        <f t="shared" si="19"/>
        <v>4.9319038832892577E-2</v>
      </c>
      <c r="AH21" s="407">
        <f t="shared" si="20"/>
        <v>0</v>
      </c>
      <c r="AI21">
        <f t="shared" si="21"/>
        <v>0</v>
      </c>
      <c r="AJ21" s="408">
        <f t="shared" si="22"/>
        <v>0.20309667840000001</v>
      </c>
      <c r="AK21">
        <f t="shared" si="23"/>
        <v>2.52E-2</v>
      </c>
      <c r="AL21" s="408">
        <f t="shared" si="24"/>
        <v>4.4160000000000005E-2</v>
      </c>
      <c r="AM21" s="408">
        <f t="shared" si="25"/>
        <v>4.9347355729984298E-2</v>
      </c>
      <c r="AN21" s="408">
        <f t="shared" si="42"/>
        <v>6.9360000000000005E-2</v>
      </c>
      <c r="AO21" s="408">
        <f t="shared" si="26"/>
        <v>0.60364555285328958</v>
      </c>
      <c r="AP21">
        <f t="shared" si="27"/>
        <v>6</v>
      </c>
      <c r="AQ21" s="10">
        <f t="shared" si="43"/>
        <v>0.90858904403303908</v>
      </c>
      <c r="AR21" s="63">
        <f t="shared" si="28"/>
        <v>2.4543460521615308</v>
      </c>
      <c r="AS21" s="63">
        <f t="shared" si="44"/>
        <v>2.4659519416446289</v>
      </c>
      <c r="AT21" s="10"/>
      <c r="AU21">
        <f t="shared" si="45"/>
        <v>90.85890440330391</v>
      </c>
      <c r="BE21" s="28"/>
      <c r="BF21" s="29"/>
    </row>
    <row r="22" spans="1:69" x14ac:dyDescent="0.2">
      <c r="A22" s="46" t="s">
        <v>127</v>
      </c>
      <c r="B22" s="49">
        <f>Cin*1000000</f>
        <v>150</v>
      </c>
      <c r="C22" s="420" t="s">
        <v>30</v>
      </c>
      <c r="D22" s="31" t="s">
        <v>177</v>
      </c>
      <c r="G22">
        <v>13</v>
      </c>
      <c r="H22">
        <f t="shared" si="0"/>
        <v>1.3</v>
      </c>
      <c r="I22" s="407">
        <f t="shared" si="1"/>
        <v>0.39796031746031746</v>
      </c>
      <c r="J22" s="408">
        <f t="shared" si="2"/>
        <v>6.5635816247795411</v>
      </c>
      <c r="K22" s="408">
        <f t="shared" si="31"/>
        <v>4.5817908123897704</v>
      </c>
      <c r="L22" s="408">
        <f t="shared" si="32"/>
        <v>-1.9817908123897705</v>
      </c>
      <c r="M22" s="63">
        <f t="shared" si="3"/>
        <v>12.6</v>
      </c>
      <c r="N22" s="407">
        <f t="shared" si="4"/>
        <v>2.2978360063536525</v>
      </c>
      <c r="O22" s="407">
        <f t="shared" si="5"/>
        <v>2.6456127434042492E-2</v>
      </c>
      <c r="P22">
        <f t="shared" si="6"/>
        <v>0.2</v>
      </c>
      <c r="Q22" s="407">
        <f t="shared" si="34"/>
        <v>0.2264561274340425</v>
      </c>
      <c r="R22" s="9">
        <f t="shared" si="39"/>
        <v>1.8947428089572749</v>
      </c>
      <c r="S22" s="9">
        <f t="shared" si="7"/>
        <v>3.590050312095304E-3</v>
      </c>
      <c r="T22" s="9">
        <f t="shared" si="40"/>
        <v>3.590050312095304E-3</v>
      </c>
      <c r="U22" s="407">
        <f t="shared" si="8"/>
        <v>1.4495690733483158</v>
      </c>
      <c r="V22" s="409">
        <f t="shared" si="9"/>
        <v>4.2025009968157893E-3</v>
      </c>
      <c r="W22" s="407">
        <f t="shared" si="41"/>
        <v>4.2025009968157893E-3</v>
      </c>
      <c r="X22" s="407">
        <f t="shared" si="10"/>
        <v>1.4495690733483158</v>
      </c>
      <c r="Y22" s="407">
        <f t="shared" si="11"/>
        <v>1.260750299044737E-2</v>
      </c>
      <c r="Z22" s="407">
        <f t="shared" si="12"/>
        <v>2.472226515522875E-2</v>
      </c>
      <c r="AA22" s="407">
        <f t="shared" si="13"/>
        <v>0</v>
      </c>
      <c r="AB22" s="407">
        <f t="shared" si="14"/>
        <v>1.217612275132275E-2</v>
      </c>
      <c r="AC22" s="407">
        <f t="shared" si="15"/>
        <v>4.9631035582904957E-2</v>
      </c>
      <c r="AD22" s="407">
        <f t="shared" si="16"/>
        <v>1.7829189027231183</v>
      </c>
      <c r="AE22" s="407">
        <f t="shared" si="17"/>
        <v>1.9072798882124448E-2</v>
      </c>
      <c r="AF22" s="407">
        <f t="shared" si="18"/>
        <v>3.1669338095238093E-2</v>
      </c>
      <c r="AG22" s="407">
        <f t="shared" si="19"/>
        <v>5.0936437061331094E-2</v>
      </c>
      <c r="AH22" s="407">
        <f t="shared" si="20"/>
        <v>0</v>
      </c>
      <c r="AI22">
        <f t="shared" si="21"/>
        <v>0</v>
      </c>
      <c r="AJ22" s="408">
        <f t="shared" si="22"/>
        <v>0.20308700160000001</v>
      </c>
      <c r="AK22">
        <f t="shared" si="23"/>
        <v>2.52E-2</v>
      </c>
      <c r="AL22" s="408">
        <f t="shared" si="24"/>
        <v>4.4160000000000005E-2</v>
      </c>
      <c r="AM22" s="408">
        <f t="shared" si="25"/>
        <v>4.9347355729984298E-2</v>
      </c>
      <c r="AN22" s="408">
        <f t="shared" si="42"/>
        <v>6.9360000000000005E-2</v>
      </c>
      <c r="AO22" s="408">
        <f t="shared" si="26"/>
        <v>0.60726315298718969</v>
      </c>
      <c r="AP22">
        <f t="shared" si="27"/>
        <v>6.5</v>
      </c>
      <c r="AQ22" s="10">
        <f t="shared" si="43"/>
        <v>0.91455738447900914</v>
      </c>
      <c r="AR22" s="63">
        <f t="shared" si="28"/>
        <v>2.4815517791452479</v>
      </c>
      <c r="AS22" s="63">
        <f t="shared" si="44"/>
        <v>2.5468218530665547</v>
      </c>
      <c r="AT22" s="10"/>
      <c r="AU22">
        <f t="shared" si="45"/>
        <v>91.455738447900913</v>
      </c>
      <c r="BE22" s="28"/>
      <c r="BF22" s="29"/>
    </row>
    <row r="23" spans="1:69" x14ac:dyDescent="0.2">
      <c r="A23" s="46" t="s">
        <v>159</v>
      </c>
      <c r="B23" s="49">
        <f>RCinEsr*1000</f>
        <v>2</v>
      </c>
      <c r="C23" s="417" t="s">
        <v>621</v>
      </c>
      <c r="D23" s="31" t="s">
        <v>178</v>
      </c>
      <c r="G23">
        <v>14</v>
      </c>
      <c r="H23">
        <f t="shared" si="0"/>
        <v>1.4000000000000001</v>
      </c>
      <c r="I23" s="407">
        <f t="shared" si="1"/>
        <v>0.39804761904761904</v>
      </c>
      <c r="J23" s="408">
        <f t="shared" si="2"/>
        <v>6.5650214947089944</v>
      </c>
      <c r="K23" s="408">
        <f t="shared" si="31"/>
        <v>4.6825107473544971</v>
      </c>
      <c r="L23" s="408">
        <f t="shared" si="32"/>
        <v>-1.8825107473544971</v>
      </c>
      <c r="M23" s="63">
        <f t="shared" si="3"/>
        <v>12.6</v>
      </c>
      <c r="N23" s="407">
        <f t="shared" si="4"/>
        <v>2.3561887874629077</v>
      </c>
      <c r="O23" s="407">
        <f t="shared" si="5"/>
        <v>2.7819906292438822E-2</v>
      </c>
      <c r="P23">
        <f t="shared" si="6"/>
        <v>0.2</v>
      </c>
      <c r="Q23" s="407">
        <f t="shared" si="34"/>
        <v>0.22781990629243884</v>
      </c>
      <c r="R23" s="9">
        <f t="shared" si="39"/>
        <v>1.8951584636029588</v>
      </c>
      <c r="S23" s="9">
        <f t="shared" si="7"/>
        <v>3.5916256021659276E-3</v>
      </c>
      <c r="T23" s="9">
        <f t="shared" si="40"/>
        <v>3.5916256021659276E-3</v>
      </c>
      <c r="U23" s="407">
        <f t="shared" si="8"/>
        <v>1.4865434244535043</v>
      </c>
      <c r="V23" s="409">
        <f t="shared" si="9"/>
        <v>4.4196227055719028E-3</v>
      </c>
      <c r="W23" s="407">
        <f t="shared" si="41"/>
        <v>4.4196227055719028E-3</v>
      </c>
      <c r="X23" s="407">
        <f t="shared" si="10"/>
        <v>1.4865434244535043</v>
      </c>
      <c r="Y23" s="407">
        <f t="shared" si="11"/>
        <v>1.3258868116715708E-2</v>
      </c>
      <c r="Z23" s="407">
        <f t="shared" si="12"/>
        <v>2.5265726225490188E-2</v>
      </c>
      <c r="AA23" s="407">
        <f t="shared" si="13"/>
        <v>0</v>
      </c>
      <c r="AB23" s="407">
        <f t="shared" si="14"/>
        <v>1.1566146031746029E-2</v>
      </c>
      <c r="AC23" s="407">
        <f t="shared" si="15"/>
        <v>5.0223922847820596E-2</v>
      </c>
      <c r="AD23" s="407">
        <f t="shared" si="16"/>
        <v>1.8280629774107828</v>
      </c>
      <c r="AE23" s="407">
        <f t="shared" si="17"/>
        <v>2.0050885496279858E-2</v>
      </c>
      <c r="AF23" s="407">
        <f t="shared" si="18"/>
        <v>3.2365514285714284E-2</v>
      </c>
      <c r="AG23" s="407">
        <f t="shared" si="19"/>
        <v>5.2627445157356519E-2</v>
      </c>
      <c r="AH23" s="407">
        <f t="shared" si="20"/>
        <v>0</v>
      </c>
      <c r="AI23">
        <f t="shared" si="21"/>
        <v>0</v>
      </c>
      <c r="AJ23" s="408">
        <f t="shared" si="22"/>
        <v>0.20307732479999999</v>
      </c>
      <c r="AK23">
        <f t="shared" si="23"/>
        <v>2.52E-2</v>
      </c>
      <c r="AL23" s="408">
        <f t="shared" si="24"/>
        <v>4.4160000000000005E-2</v>
      </c>
      <c r="AM23" s="408">
        <f t="shared" si="25"/>
        <v>4.9347355729984298E-2</v>
      </c>
      <c r="AN23" s="408">
        <f t="shared" si="42"/>
        <v>6.9360000000000005E-2</v>
      </c>
      <c r="AO23" s="408">
        <f t="shared" si="26"/>
        <v>0.61111984740535374</v>
      </c>
      <c r="AP23">
        <f t="shared" si="27"/>
        <v>7.0000000000000009</v>
      </c>
      <c r="AQ23" s="10">
        <f t="shared" si="43"/>
        <v>0.91970697352588848</v>
      </c>
      <c r="AR23" s="63">
        <f t="shared" si="28"/>
        <v>2.5111961423910296</v>
      </c>
      <c r="AS23" s="63">
        <f t="shared" si="44"/>
        <v>2.631372257867826</v>
      </c>
      <c r="AT23" s="10"/>
      <c r="AU23">
        <f t="shared" si="45"/>
        <v>91.970697352588843</v>
      </c>
      <c r="BE23" s="28"/>
      <c r="BF23" s="29"/>
    </row>
    <row r="24" spans="1:69" x14ac:dyDescent="0.2">
      <c r="A24" s="45" t="s">
        <v>36</v>
      </c>
      <c r="B24" s="49">
        <f>Cout*1000000</f>
        <v>100</v>
      </c>
      <c r="C24" s="419" t="s">
        <v>30</v>
      </c>
      <c r="D24" s="31" t="s">
        <v>199</v>
      </c>
      <c r="G24">
        <v>15</v>
      </c>
      <c r="H24">
        <f t="shared" si="0"/>
        <v>1.5</v>
      </c>
      <c r="I24" s="407">
        <f t="shared" si="1"/>
        <v>0.39813492063492067</v>
      </c>
      <c r="J24" s="408">
        <f t="shared" si="2"/>
        <v>6.5664613646384478</v>
      </c>
      <c r="K24" s="408">
        <f t="shared" si="31"/>
        <v>4.7832306823192239</v>
      </c>
      <c r="L24" s="408">
        <f t="shared" si="32"/>
        <v>-1.7832306823192239</v>
      </c>
      <c r="M24" s="63">
        <f t="shared" si="3"/>
        <v>12.6</v>
      </c>
      <c r="N24" s="407">
        <f t="shared" si="4"/>
        <v>2.4172714447852397</v>
      </c>
      <c r="O24" s="407">
        <f t="shared" si="5"/>
        <v>2.9284452167732213E-2</v>
      </c>
      <c r="P24">
        <f t="shared" si="6"/>
        <v>0.2</v>
      </c>
      <c r="Q24" s="407">
        <f t="shared" si="34"/>
        <v>0.22928445216773222</v>
      </c>
      <c r="R24" s="9">
        <f t="shared" si="39"/>
        <v>1.8955741182486427</v>
      </c>
      <c r="S24" s="9">
        <f t="shared" si="7"/>
        <v>3.5932012377741197E-3</v>
      </c>
      <c r="T24" s="9">
        <f t="shared" si="40"/>
        <v>3.5932012377741197E-3</v>
      </c>
      <c r="U24" s="407">
        <f t="shared" si="8"/>
        <v>1.5252483276683406</v>
      </c>
      <c r="V24" s="409">
        <f t="shared" si="9"/>
        <v>4.6527649221101402E-3</v>
      </c>
      <c r="W24" s="407">
        <f t="shared" si="41"/>
        <v>4.6527649221101402E-3</v>
      </c>
      <c r="X24" s="407">
        <f t="shared" si="10"/>
        <v>1.5252483276683406</v>
      </c>
      <c r="Y24" s="407">
        <f t="shared" si="11"/>
        <v>1.3958294766330419E-2</v>
      </c>
      <c r="Z24" s="407">
        <f t="shared" si="12"/>
        <v>2.5809187295751629E-2</v>
      </c>
      <c r="AA24" s="407">
        <f t="shared" si="13"/>
        <v>0</v>
      </c>
      <c r="AB24" s="407">
        <f t="shared" si="14"/>
        <v>1.0956169312169311E-2</v>
      </c>
      <c r="AC24" s="407">
        <f t="shared" si="15"/>
        <v>5.0865650924067238E-2</v>
      </c>
      <c r="AD24" s="407">
        <f t="shared" si="16"/>
        <v>1.8753183134388278</v>
      </c>
      <c r="AE24" s="407">
        <f t="shared" si="17"/>
        <v>2.1100912660314299E-2</v>
      </c>
      <c r="AF24" s="407">
        <f t="shared" si="18"/>
        <v>3.3061690476190474E-2</v>
      </c>
      <c r="AG24" s="407">
        <f t="shared" si="19"/>
        <v>5.4392147929076443E-2</v>
      </c>
      <c r="AH24" s="407">
        <f t="shared" si="20"/>
        <v>0</v>
      </c>
      <c r="AI24">
        <f t="shared" si="21"/>
        <v>0</v>
      </c>
      <c r="AJ24" s="408">
        <f t="shared" si="22"/>
        <v>0.20306764799999999</v>
      </c>
      <c r="AK24">
        <f t="shared" si="23"/>
        <v>2.52E-2</v>
      </c>
      <c r="AL24" s="408">
        <f t="shared" si="24"/>
        <v>4.4160000000000005E-2</v>
      </c>
      <c r="AM24" s="408">
        <f t="shared" si="25"/>
        <v>4.9347355729984298E-2</v>
      </c>
      <c r="AN24" s="408">
        <f t="shared" si="42"/>
        <v>6.9360000000000005E-2</v>
      </c>
      <c r="AO24" s="408">
        <f t="shared" si="26"/>
        <v>0.6152158651807601</v>
      </c>
      <c r="AP24">
        <f t="shared" si="27"/>
        <v>7.5</v>
      </c>
      <c r="AQ24" s="10">
        <f t="shared" si="43"/>
        <v>0.92418983359143747</v>
      </c>
      <c r="AR24" s="63">
        <f t="shared" si="28"/>
        <v>2.5432825462033617</v>
      </c>
      <c r="AS24" s="63">
        <f t="shared" si="44"/>
        <v>2.7196073964538221</v>
      </c>
      <c r="AT24" s="10"/>
      <c r="AU24">
        <f t="shared" si="45"/>
        <v>92.418983359143752</v>
      </c>
      <c r="BE24" s="28"/>
      <c r="BF24" s="29"/>
    </row>
    <row r="25" spans="1:69" x14ac:dyDescent="0.2">
      <c r="A25" s="45" t="s">
        <v>158</v>
      </c>
      <c r="B25" s="50">
        <f>CoutEsr*1000</f>
        <v>1</v>
      </c>
      <c r="C25" s="417" t="s">
        <v>621</v>
      </c>
      <c r="D25" s="31" t="s">
        <v>200</v>
      </c>
      <c r="G25">
        <v>16</v>
      </c>
      <c r="H25">
        <f t="shared" si="0"/>
        <v>1.6</v>
      </c>
      <c r="I25" s="407">
        <f t="shared" si="1"/>
        <v>0.3982222222222222</v>
      </c>
      <c r="J25" s="408">
        <f t="shared" si="2"/>
        <v>6.5679012345679002</v>
      </c>
      <c r="K25" s="408">
        <f t="shared" si="31"/>
        <v>4.8839506172839506</v>
      </c>
      <c r="L25" s="408">
        <f t="shared" si="32"/>
        <v>-1.68395061728395</v>
      </c>
      <c r="M25" s="63">
        <f t="shared" si="3"/>
        <v>12.6</v>
      </c>
      <c r="N25" s="407">
        <f t="shared" si="4"/>
        <v>2.4808823468515953</v>
      </c>
      <c r="O25" s="407">
        <f t="shared" si="5"/>
        <v>3.084983564084327E-2</v>
      </c>
      <c r="P25">
        <f t="shared" si="6"/>
        <v>0.2</v>
      </c>
      <c r="Q25" s="407">
        <f t="shared" si="34"/>
        <v>0.23084983564084327</v>
      </c>
      <c r="R25" s="9">
        <f t="shared" si="39"/>
        <v>1.8959897728943265</v>
      </c>
      <c r="S25" s="9">
        <f t="shared" si="7"/>
        <v>3.5947772189198796E-3</v>
      </c>
      <c r="T25" s="9">
        <f t="shared" si="40"/>
        <v>3.5947772189198796E-3</v>
      </c>
      <c r="U25" s="407">
        <f t="shared" si="8"/>
        <v>1.5655571089554614</v>
      </c>
      <c r="V25" s="409">
        <f t="shared" si="9"/>
        <v>4.9019381228019646E-3</v>
      </c>
      <c r="W25" s="407">
        <f t="shared" si="41"/>
        <v>4.9019381228019646E-3</v>
      </c>
      <c r="X25" s="407">
        <f t="shared" si="10"/>
        <v>1.5655571089554614</v>
      </c>
      <c r="Y25" s="407">
        <f t="shared" si="11"/>
        <v>1.4705814368405894E-2</v>
      </c>
      <c r="Z25" s="407">
        <f t="shared" si="12"/>
        <v>2.6352648366013063E-2</v>
      </c>
      <c r="AA25" s="407">
        <f t="shared" si="13"/>
        <v>0</v>
      </c>
      <c r="AB25" s="407">
        <f t="shared" si="14"/>
        <v>1.0346192592592588E-2</v>
      </c>
      <c r="AC25" s="407">
        <f t="shared" si="15"/>
        <v>5.1556290775344696E-2</v>
      </c>
      <c r="AD25" s="407">
        <f t="shared" si="16"/>
        <v>1.9245280350046596</v>
      </c>
      <c r="AE25" s="407">
        <f t="shared" si="17"/>
        <v>2.222284894511338E-2</v>
      </c>
      <c r="AF25" s="407">
        <f t="shared" si="18"/>
        <v>3.3757866666666664E-2</v>
      </c>
      <c r="AG25" s="407">
        <f t="shared" si="19"/>
        <v>5.6230636600431837E-2</v>
      </c>
      <c r="AH25" s="407">
        <f t="shared" si="20"/>
        <v>0</v>
      </c>
      <c r="AI25">
        <f t="shared" si="21"/>
        <v>0</v>
      </c>
      <c r="AJ25" s="408">
        <f t="shared" si="22"/>
        <v>0.20305797119999999</v>
      </c>
      <c r="AK25">
        <f t="shared" si="23"/>
        <v>2.52E-2</v>
      </c>
      <c r="AL25" s="408">
        <f t="shared" si="24"/>
        <v>4.4160000000000005E-2</v>
      </c>
      <c r="AM25" s="408">
        <f t="shared" si="25"/>
        <v>4.9347355729984298E-2</v>
      </c>
      <c r="AN25" s="408">
        <f t="shared" si="42"/>
        <v>6.9360000000000005E-2</v>
      </c>
      <c r="AO25" s="408">
        <f t="shared" si="26"/>
        <v>0.61955144955834163</v>
      </c>
      <c r="AP25">
        <f t="shared" si="27"/>
        <v>8</v>
      </c>
      <c r="AQ25" s="10">
        <f t="shared" si="43"/>
        <v>0.92812254173735598</v>
      </c>
      <c r="AR25" s="63">
        <f t="shared" si="28"/>
        <v>2.5778145387672349</v>
      </c>
      <c r="AS25" s="63">
        <f t="shared" si="44"/>
        <v>2.8115318300215919</v>
      </c>
      <c r="AT25" s="10"/>
      <c r="AU25">
        <f t="shared" si="45"/>
        <v>92.812254173735596</v>
      </c>
      <c r="BC25" t="s">
        <v>240</v>
      </c>
      <c r="BD25" t="s">
        <v>4</v>
      </c>
      <c r="BE25" t="s">
        <v>6</v>
      </c>
      <c r="BF25" t="s">
        <v>5</v>
      </c>
      <c r="BG25" t="s">
        <v>241</v>
      </c>
      <c r="BH25" t="s">
        <v>242</v>
      </c>
    </row>
    <row r="26" spans="1:69" x14ac:dyDescent="0.2">
      <c r="A26" s="34" t="s">
        <v>202</v>
      </c>
      <c r="B26" s="47" t="s">
        <v>201</v>
      </c>
      <c r="C26" s="34" t="s">
        <v>148</v>
      </c>
      <c r="D26" s="27" t="s">
        <v>188</v>
      </c>
      <c r="G26">
        <v>17</v>
      </c>
      <c r="H26">
        <f t="shared" si="0"/>
        <v>1.7000000000000002</v>
      </c>
      <c r="I26" s="407">
        <f t="shared" si="1"/>
        <v>0.39830952380952384</v>
      </c>
      <c r="J26" s="408">
        <f t="shared" si="2"/>
        <v>6.5693411044973535</v>
      </c>
      <c r="K26" s="408">
        <f t="shared" si="31"/>
        <v>4.9846705522486765</v>
      </c>
      <c r="L26" s="408">
        <f t="shared" si="32"/>
        <v>-1.5846705522486766</v>
      </c>
      <c r="M26" s="63">
        <f t="shared" si="3"/>
        <v>12.6</v>
      </c>
      <c r="N26" s="407">
        <f t="shared" si="4"/>
        <v>2.5468320607380477</v>
      </c>
      <c r="O26" s="407">
        <f t="shared" si="5"/>
        <v>3.2516132179717341E-2</v>
      </c>
      <c r="P26">
        <f t="shared" si="6"/>
        <v>0.2</v>
      </c>
      <c r="Q26" s="407">
        <f t="shared" si="34"/>
        <v>0.23251613217971734</v>
      </c>
      <c r="R26" s="9">
        <f t="shared" si="39"/>
        <v>1.8964054275400104</v>
      </c>
      <c r="S26" s="9">
        <f t="shared" si="7"/>
        <v>3.5963535456032098E-3</v>
      </c>
      <c r="T26" s="9">
        <f t="shared" si="40"/>
        <v>3.5963535456032098E-3</v>
      </c>
      <c r="U26" s="407">
        <f t="shared" si="8"/>
        <v>1.6073507370855409</v>
      </c>
      <c r="V26" s="409">
        <f t="shared" si="9"/>
        <v>5.1671527840188632E-3</v>
      </c>
      <c r="W26" s="407">
        <f t="shared" si="41"/>
        <v>5.1671527840188632E-3</v>
      </c>
      <c r="X26" s="407">
        <f t="shared" si="10"/>
        <v>1.6073507370855409</v>
      </c>
      <c r="Y26" s="407">
        <f t="shared" si="11"/>
        <v>1.550145835205659E-2</v>
      </c>
      <c r="Z26" s="407">
        <f t="shared" si="12"/>
        <v>2.6896109436274497E-2</v>
      </c>
      <c r="AA26" s="407">
        <f t="shared" si="13"/>
        <v>0</v>
      </c>
      <c r="AB26" s="407">
        <f t="shared" si="14"/>
        <v>9.7362158730158691E-3</v>
      </c>
      <c r="AC26" s="407">
        <f t="shared" si="15"/>
        <v>5.2295916254908578E-2</v>
      </c>
      <c r="AD26" s="407">
        <f t="shared" si="16"/>
        <v>1.9755447738772665</v>
      </c>
      <c r="AE26" s="407">
        <f t="shared" si="17"/>
        <v>2.3416662921562678E-2</v>
      </c>
      <c r="AF26" s="407">
        <f t="shared" si="18"/>
        <v>3.4454042857142854E-2</v>
      </c>
      <c r="AG26" s="407">
        <f t="shared" si="19"/>
        <v>5.8143008826492613E-2</v>
      </c>
      <c r="AH26" s="407">
        <f t="shared" si="20"/>
        <v>0</v>
      </c>
      <c r="AI26">
        <f t="shared" si="21"/>
        <v>0</v>
      </c>
      <c r="AJ26" s="408">
        <f t="shared" si="22"/>
        <v>0.2030482944</v>
      </c>
      <c r="AK26">
        <f t="shared" si="23"/>
        <v>2.52E-2</v>
      </c>
      <c r="AL26" s="408">
        <f t="shared" si="24"/>
        <v>4.4160000000000005E-2</v>
      </c>
      <c r="AM26" s="408">
        <f t="shared" si="25"/>
        <v>4.9347355729984298E-2</v>
      </c>
      <c r="AN26" s="408">
        <f t="shared" si="42"/>
        <v>6.9360000000000005E-2</v>
      </c>
      <c r="AO26" s="408">
        <f t="shared" si="26"/>
        <v>0.62412685799074052</v>
      </c>
      <c r="AP26">
        <f t="shared" si="27"/>
        <v>8.5</v>
      </c>
      <c r="AQ26" s="10">
        <f t="shared" si="43"/>
        <v>0.93159599075015698</v>
      </c>
      <c r="AR26" s="63">
        <f t="shared" si="28"/>
        <v>2.6147958127454287</v>
      </c>
      <c r="AS26" s="63">
        <f t="shared" si="44"/>
        <v>2.9071504413246307</v>
      </c>
      <c r="AT26" s="10"/>
      <c r="AU26">
        <f t="shared" si="45"/>
        <v>93.159599075015691</v>
      </c>
      <c r="BC26" t="s">
        <v>243</v>
      </c>
      <c r="BD26">
        <v>9.9989640000000009</v>
      </c>
      <c r="BE26">
        <v>0.1027</v>
      </c>
      <c r="BF26">
        <v>5.1211359999999999</v>
      </c>
      <c r="BG26">
        <v>61.870683235325004</v>
      </c>
      <c r="BH26">
        <v>324.12365701136014</v>
      </c>
    </row>
    <row r="27" spans="1:69" x14ac:dyDescent="0.2">
      <c r="A27" s="32" t="s">
        <v>132</v>
      </c>
      <c r="B27" s="5">
        <v>1.5</v>
      </c>
      <c r="C27" s="416" t="s">
        <v>208</v>
      </c>
      <c r="D27" s="31" t="s">
        <v>204</v>
      </c>
      <c r="G27">
        <v>18</v>
      </c>
      <c r="H27">
        <f t="shared" si="0"/>
        <v>1.7999999999999998</v>
      </c>
      <c r="I27" s="407">
        <f t="shared" si="1"/>
        <v>0.39839682539682542</v>
      </c>
      <c r="J27" s="408">
        <f t="shared" si="2"/>
        <v>6.5707809744268069</v>
      </c>
      <c r="K27" s="408">
        <f t="shared" si="31"/>
        <v>5.0853904872134033</v>
      </c>
      <c r="L27" s="408">
        <f t="shared" si="32"/>
        <v>-1.4853904872134036</v>
      </c>
      <c r="M27" s="63">
        <f t="shared" si="3"/>
        <v>12.6</v>
      </c>
      <c r="N27" s="407">
        <f t="shared" si="4"/>
        <v>2.6149436356877955</v>
      </c>
      <c r="O27" s="407">
        <f t="shared" si="5"/>
        <v>3.4283422148432205E-2</v>
      </c>
      <c r="P27">
        <f t="shared" si="6"/>
        <v>0.2</v>
      </c>
      <c r="Q27" s="407">
        <f t="shared" si="34"/>
        <v>0.23428342214843223</v>
      </c>
      <c r="R27" s="9">
        <f t="shared" si="39"/>
        <v>1.8968210821856943</v>
      </c>
      <c r="S27" s="9">
        <f t="shared" si="7"/>
        <v>3.5979302178241091E-3</v>
      </c>
      <c r="T27" s="9">
        <f t="shared" si="40"/>
        <v>3.5979302178241091E-3</v>
      </c>
      <c r="U27" s="407">
        <f t="shared" si="8"/>
        <v>1.6505180068893968</v>
      </c>
      <c r="V27" s="409">
        <f t="shared" si="9"/>
        <v>5.4484193821322932E-3</v>
      </c>
      <c r="W27" s="407">
        <f t="shared" si="41"/>
        <v>5.4484193821322932E-3</v>
      </c>
      <c r="X27" s="407">
        <f t="shared" si="10"/>
        <v>1.6505180068893968</v>
      </c>
      <c r="Y27" s="407">
        <f t="shared" si="11"/>
        <v>1.6345258146396879E-2</v>
      </c>
      <c r="Z27" s="407">
        <f t="shared" si="12"/>
        <v>2.7439570506535938E-2</v>
      </c>
      <c r="AA27" s="407">
        <f t="shared" si="13"/>
        <v>0</v>
      </c>
      <c r="AB27" s="407">
        <f t="shared" si="14"/>
        <v>9.1262391534391498E-3</v>
      </c>
      <c r="AC27" s="407">
        <f t="shared" si="15"/>
        <v>5.3084604117953405E-2</v>
      </c>
      <c r="AD27" s="407">
        <f t="shared" si="16"/>
        <v>2.0282308859589824</v>
      </c>
      <c r="AE27" s="407">
        <f t="shared" si="17"/>
        <v>2.4682323160547755E-2</v>
      </c>
      <c r="AF27" s="407">
        <f t="shared" si="18"/>
        <v>3.5150219047619044E-2</v>
      </c>
      <c r="AG27" s="407">
        <f t="shared" si="19"/>
        <v>6.0129368710155555E-2</v>
      </c>
      <c r="AH27" s="407">
        <f t="shared" si="20"/>
        <v>0</v>
      </c>
      <c r="AI27">
        <f t="shared" si="21"/>
        <v>0</v>
      </c>
      <c r="AJ27" s="408">
        <f t="shared" si="22"/>
        <v>0.2030386176</v>
      </c>
      <c r="AK27">
        <f t="shared" si="23"/>
        <v>2.52E-2</v>
      </c>
      <c r="AL27" s="408">
        <f t="shared" si="24"/>
        <v>4.4160000000000005E-2</v>
      </c>
      <c r="AM27" s="408">
        <f t="shared" si="25"/>
        <v>4.9347355729984298E-2</v>
      </c>
      <c r="AN27" s="408">
        <f t="shared" si="42"/>
        <v>6.9360000000000005E-2</v>
      </c>
      <c r="AO27" s="408">
        <f t="shared" si="26"/>
        <v>0.62894236217649746</v>
      </c>
      <c r="AP27">
        <f t="shared" si="27"/>
        <v>9</v>
      </c>
      <c r="AQ27" s="10">
        <f t="shared" si="43"/>
        <v>0.93468209295269544</v>
      </c>
      <c r="AR27" s="63">
        <f t="shared" si="28"/>
        <v>2.6542302058976701</v>
      </c>
      <c r="AS27" s="63">
        <f t="shared" si="44"/>
        <v>3.0064684355077778</v>
      </c>
      <c r="AT27" s="10"/>
      <c r="AU27">
        <f t="shared" si="45"/>
        <v>93.468209295269546</v>
      </c>
      <c r="BC27" t="s">
        <v>244</v>
      </c>
      <c r="BD27">
        <v>9.9986669999999993</v>
      </c>
      <c r="BE27">
        <v>0.1166</v>
      </c>
      <c r="BF27">
        <v>5.1212980000000003</v>
      </c>
      <c r="BG27">
        <v>64.729420570558148</v>
      </c>
      <c r="BH27">
        <v>325.37886459483997</v>
      </c>
    </row>
    <row r="28" spans="1:69" x14ac:dyDescent="0.2">
      <c r="A28" s="32" t="s">
        <v>239</v>
      </c>
      <c r="B28" s="5">
        <v>0.9</v>
      </c>
      <c r="C28" s="416" t="s">
        <v>208</v>
      </c>
      <c r="D28" s="31" t="s">
        <v>205</v>
      </c>
      <c r="G28">
        <v>19</v>
      </c>
      <c r="H28">
        <f t="shared" si="0"/>
        <v>1.9</v>
      </c>
      <c r="I28" s="407">
        <f t="shared" si="1"/>
        <v>0.398484126984127</v>
      </c>
      <c r="J28" s="408">
        <f t="shared" si="2"/>
        <v>6.5722208443562602</v>
      </c>
      <c r="K28" s="408">
        <f t="shared" si="31"/>
        <v>5.18611042217813</v>
      </c>
      <c r="L28" s="408">
        <f t="shared" si="32"/>
        <v>-1.3861104221781302</v>
      </c>
      <c r="M28" s="63">
        <f t="shared" si="3"/>
        <v>12.6</v>
      </c>
      <c r="N28" s="407">
        <f t="shared" si="4"/>
        <v>2.6850525573222166</v>
      </c>
      <c r="O28" s="407">
        <f t="shared" si="5"/>
        <v>3.6151790816902368E-2</v>
      </c>
      <c r="P28">
        <f t="shared" si="6"/>
        <v>0.2</v>
      </c>
      <c r="Q28" s="407">
        <f t="shared" si="34"/>
        <v>0.23615179081690238</v>
      </c>
      <c r="R28" s="9">
        <f t="shared" si="39"/>
        <v>1.8972367368313783</v>
      </c>
      <c r="S28" s="9">
        <f t="shared" si="7"/>
        <v>3.5995072355825765E-3</v>
      </c>
      <c r="T28" s="9">
        <f t="shared" si="40"/>
        <v>3.5995072355825765E-3</v>
      </c>
      <c r="U28" s="407">
        <f t="shared" si="8"/>
        <v>1.694955514683754</v>
      </c>
      <c r="V28" s="409">
        <f t="shared" si="9"/>
        <v>5.7457483935137391E-3</v>
      </c>
      <c r="W28" s="407">
        <f t="shared" si="41"/>
        <v>5.7457483935137391E-3</v>
      </c>
      <c r="X28" s="407">
        <f t="shared" si="10"/>
        <v>1.694955514683754</v>
      </c>
      <c r="Y28" s="407">
        <f t="shared" si="11"/>
        <v>1.7237245180541216E-2</v>
      </c>
      <c r="Z28" s="407">
        <f t="shared" si="12"/>
        <v>2.7983031576797372E-2</v>
      </c>
      <c r="AA28" s="407">
        <f t="shared" si="13"/>
        <v>0</v>
      </c>
      <c r="AB28" s="407">
        <f t="shared" si="14"/>
        <v>8.5162624338624322E-3</v>
      </c>
      <c r="AC28" s="407">
        <f t="shared" si="15"/>
        <v>5.3922434034437659E-2</v>
      </c>
      <c r="AD28" s="407">
        <f t="shared" si="16"/>
        <v>2.0824584122679872</v>
      </c>
      <c r="AE28" s="407">
        <f t="shared" si="17"/>
        <v>2.6019798232954236E-2</v>
      </c>
      <c r="AF28" s="407">
        <f t="shared" si="18"/>
        <v>3.5846395238095234E-2</v>
      </c>
      <c r="AG28" s="407">
        <f t="shared" si="19"/>
        <v>6.2189826820250524E-2</v>
      </c>
      <c r="AH28" s="407">
        <f t="shared" si="20"/>
        <v>0</v>
      </c>
      <c r="AI28">
        <f t="shared" si="21"/>
        <v>0</v>
      </c>
      <c r="AJ28" s="408">
        <f t="shared" si="22"/>
        <v>0.2030289408</v>
      </c>
      <c r="AK28">
        <f t="shared" si="23"/>
        <v>2.52E-2</v>
      </c>
      <c r="AL28" s="408">
        <f t="shared" si="24"/>
        <v>4.4160000000000005E-2</v>
      </c>
      <c r="AM28" s="408">
        <f t="shared" si="25"/>
        <v>4.9347355729984298E-2</v>
      </c>
      <c r="AN28" s="408">
        <f t="shared" si="42"/>
        <v>6.9360000000000005E-2</v>
      </c>
      <c r="AO28" s="408">
        <f t="shared" si="26"/>
        <v>0.63399824810068683</v>
      </c>
      <c r="AP28">
        <f t="shared" si="27"/>
        <v>9.5</v>
      </c>
      <c r="AQ28" s="10">
        <f t="shared" si="43"/>
        <v>0.9374384884840975</v>
      </c>
      <c r="AR28" s="63">
        <f t="shared" si="28"/>
        <v>2.696121701721883</v>
      </c>
      <c r="AS28" s="63">
        <f t="shared" si="44"/>
        <v>3.109491341012526</v>
      </c>
      <c r="AT28" s="10"/>
      <c r="AU28">
        <f t="shared" si="45"/>
        <v>93.743848848409755</v>
      </c>
      <c r="BC28" t="s">
        <v>245</v>
      </c>
      <c r="BD28">
        <v>9.9987659999999998</v>
      </c>
      <c r="BE28">
        <v>0.14660000000000001</v>
      </c>
      <c r="BF28">
        <v>5.1213230000000003</v>
      </c>
      <c r="BG28">
        <v>69.885376918691776</v>
      </c>
      <c r="BH28">
        <v>323.52446193379996</v>
      </c>
    </row>
    <row r="29" spans="1:69" x14ac:dyDescent="0.2">
      <c r="A29" s="34" t="s">
        <v>203</v>
      </c>
      <c r="B29" s="25" t="s">
        <v>201</v>
      </c>
      <c r="C29" s="34" t="s">
        <v>148</v>
      </c>
      <c r="D29" s="27" t="s">
        <v>188</v>
      </c>
      <c r="G29">
        <v>20</v>
      </c>
      <c r="H29">
        <f t="shared" si="0"/>
        <v>2</v>
      </c>
      <c r="I29" s="407">
        <f t="shared" si="1"/>
        <v>0.39857142857142852</v>
      </c>
      <c r="J29" s="408">
        <f t="shared" si="2"/>
        <v>6.5736607142857126</v>
      </c>
      <c r="K29" s="408">
        <f t="shared" si="31"/>
        <v>5.2868303571428559</v>
      </c>
      <c r="L29" s="408">
        <f t="shared" si="32"/>
        <v>-1.2868303571428563</v>
      </c>
      <c r="M29" s="63">
        <f t="shared" si="3"/>
        <v>12.6</v>
      </c>
      <c r="N29" s="407">
        <f t="shared" si="4"/>
        <v>2.7570064560821423</v>
      </c>
      <c r="O29" s="407">
        <f t="shared" si="5"/>
        <v>3.8121328371181464E-2</v>
      </c>
      <c r="P29">
        <f t="shared" si="6"/>
        <v>0.2</v>
      </c>
      <c r="Q29" s="407">
        <f t="shared" si="34"/>
        <v>0.23812132837118147</v>
      </c>
      <c r="R29" s="9">
        <f t="shared" si="39"/>
        <v>1.897652391477062</v>
      </c>
      <c r="S29" s="9">
        <f t="shared" si="7"/>
        <v>3.6010845988786126E-3</v>
      </c>
      <c r="T29" s="9">
        <f t="shared" si="40"/>
        <v>3.6010845988786126E-3</v>
      </c>
      <c r="U29" s="407">
        <f t="shared" si="8"/>
        <v>1.7405674785159386</v>
      </c>
      <c r="V29" s="409">
        <f t="shared" si="9"/>
        <v>6.059150294534665E-3</v>
      </c>
      <c r="W29" s="407">
        <f t="shared" si="41"/>
        <v>6.059150294534665E-3</v>
      </c>
      <c r="X29" s="407">
        <f t="shared" si="10"/>
        <v>1.7405674785159386</v>
      </c>
      <c r="Y29" s="407">
        <f t="shared" si="11"/>
        <v>1.8177450883603997E-2</v>
      </c>
      <c r="Z29" s="407">
        <f t="shared" si="12"/>
        <v>2.8526492647058813E-2</v>
      </c>
      <c r="AA29" s="407">
        <f t="shared" si="13"/>
        <v>0</v>
      </c>
      <c r="AB29" s="407">
        <f t="shared" si="14"/>
        <v>7.9062857142857077E-3</v>
      </c>
      <c r="AC29" s="407">
        <f t="shared" si="15"/>
        <v>5.4809488602353462E-2</v>
      </c>
      <c r="AD29" s="407">
        <f t="shared" si="16"/>
        <v>2.1381088493365534</v>
      </c>
      <c r="AE29" s="407">
        <f t="shared" si="17"/>
        <v>2.7429056709667686E-2</v>
      </c>
      <c r="AF29" s="407">
        <f t="shared" si="18"/>
        <v>3.6542571428571417E-2</v>
      </c>
      <c r="AG29" s="407">
        <f t="shared" si="19"/>
        <v>6.4324500211061147E-2</v>
      </c>
      <c r="AH29" s="407">
        <f t="shared" si="20"/>
        <v>0</v>
      </c>
      <c r="AI29">
        <f t="shared" si="21"/>
        <v>0</v>
      </c>
      <c r="AJ29" s="408">
        <f t="shared" si="22"/>
        <v>0.20301926399999998</v>
      </c>
      <c r="AK29">
        <f t="shared" si="23"/>
        <v>2.52E-2</v>
      </c>
      <c r="AL29" s="408">
        <f t="shared" si="24"/>
        <v>4.4160000000000005E-2</v>
      </c>
      <c r="AM29" s="408">
        <f t="shared" si="25"/>
        <v>4.9347355729984298E-2</v>
      </c>
      <c r="AN29" s="408">
        <f t="shared" si="42"/>
        <v>6.9360000000000005E-2</v>
      </c>
      <c r="AO29" s="408">
        <f t="shared" si="26"/>
        <v>0.63929481607800942</v>
      </c>
      <c r="AP29">
        <f t="shared" si="27"/>
        <v>10</v>
      </c>
      <c r="AQ29" s="10">
        <f t="shared" si="43"/>
        <v>0.93991191830572141</v>
      </c>
      <c r="AR29" s="63">
        <f t="shared" si="28"/>
        <v>2.7404744301176729</v>
      </c>
      <c r="AS29" s="63">
        <f t="shared" si="44"/>
        <v>3.2162250105530572</v>
      </c>
      <c r="AT29" s="10"/>
      <c r="AU29">
        <f t="shared" si="45"/>
        <v>93.991191830572134</v>
      </c>
      <c r="BC29" t="s">
        <v>246</v>
      </c>
      <c r="BD29">
        <v>9.9987899999999996</v>
      </c>
      <c r="BE29">
        <v>0.1958</v>
      </c>
      <c r="BF29">
        <v>5.1217600000000001</v>
      </c>
      <c r="BG29">
        <v>75.662516566515876</v>
      </c>
      <c r="BH29">
        <v>322.57199766699983</v>
      </c>
    </row>
    <row r="30" spans="1:69" x14ac:dyDescent="0.2">
      <c r="A30" s="32" t="s">
        <v>131</v>
      </c>
      <c r="B30" s="37">
        <v>1.5</v>
      </c>
      <c r="C30" s="416" t="s">
        <v>208</v>
      </c>
      <c r="D30" s="31" t="s">
        <v>204</v>
      </c>
      <c r="G30">
        <v>21</v>
      </c>
      <c r="H30">
        <f t="shared" si="0"/>
        <v>2.1</v>
      </c>
      <c r="I30" s="407">
        <f t="shared" si="1"/>
        <v>0.39865873015873021</v>
      </c>
      <c r="J30" s="408">
        <f t="shared" si="2"/>
        <v>6.5751005842151677</v>
      </c>
      <c r="K30" s="408">
        <f t="shared" si="31"/>
        <v>5.3875502921075835</v>
      </c>
      <c r="L30" s="408">
        <f t="shared" si="32"/>
        <v>-1.1875502921075838</v>
      </c>
      <c r="M30" s="63">
        <f t="shared" si="3"/>
        <v>12.6</v>
      </c>
      <c r="N30" s="407">
        <f t="shared" si="4"/>
        <v>2.8306646406298683</v>
      </c>
      <c r="O30" s="407">
        <f t="shared" si="5"/>
        <v>4.0192129924365758E-2</v>
      </c>
      <c r="P30">
        <f t="shared" si="6"/>
        <v>0.2</v>
      </c>
      <c r="Q30" s="407">
        <f t="shared" si="34"/>
        <v>0.24019212992436578</v>
      </c>
      <c r="R30" s="9">
        <f t="shared" si="39"/>
        <v>1.8980680461227464</v>
      </c>
      <c r="S30" s="9">
        <f t="shared" si="7"/>
        <v>3.6026623077122203E-3</v>
      </c>
      <c r="T30" s="9">
        <f t="shared" si="40"/>
        <v>3.6026623077122203E-3</v>
      </c>
      <c r="U30" s="407">
        <f t="shared" si="8"/>
        <v>1.7872654477674197</v>
      </c>
      <c r="V30" s="409">
        <f t="shared" si="9"/>
        <v>6.3886355615665504E-3</v>
      </c>
      <c r="W30" s="407">
        <f t="shared" si="41"/>
        <v>6.3886355615665504E-3</v>
      </c>
      <c r="X30" s="407">
        <f t="shared" si="10"/>
        <v>1.7872654477674197</v>
      </c>
      <c r="Y30" s="407">
        <f t="shared" si="11"/>
        <v>1.9165906684699651E-2</v>
      </c>
      <c r="Z30" s="407">
        <f t="shared" si="12"/>
        <v>2.9069953717320247E-2</v>
      </c>
      <c r="AA30" s="407">
        <f t="shared" si="13"/>
        <v>0</v>
      </c>
      <c r="AB30" s="407">
        <f t="shared" si="14"/>
        <v>7.2963089947089945E-3</v>
      </c>
      <c r="AC30" s="407">
        <f t="shared" si="15"/>
        <v>5.5745853361445774E-2</v>
      </c>
      <c r="AD30" s="407">
        <f t="shared" si="16"/>
        <v>2.1950727839707156</v>
      </c>
      <c r="AE30" s="407">
        <f t="shared" si="17"/>
        <v>2.891006716157369E-2</v>
      </c>
      <c r="AF30" s="407">
        <f t="shared" si="18"/>
        <v>3.7238747619047614E-2</v>
      </c>
      <c r="AG30" s="407">
        <f t="shared" si="19"/>
        <v>6.6533512443267356E-2</v>
      </c>
      <c r="AH30" s="407">
        <f t="shared" si="20"/>
        <v>0</v>
      </c>
      <c r="AI30">
        <f t="shared" si="21"/>
        <v>0</v>
      </c>
      <c r="AJ30" s="408">
        <f t="shared" si="22"/>
        <v>0.20300958719999998</v>
      </c>
      <c r="AK30">
        <f t="shared" si="23"/>
        <v>2.52E-2</v>
      </c>
      <c r="AL30" s="408">
        <f t="shared" si="24"/>
        <v>4.4160000000000005E-2</v>
      </c>
      <c r="AM30" s="408">
        <f t="shared" si="25"/>
        <v>4.9347355729984298E-2</v>
      </c>
      <c r="AN30" s="408">
        <f t="shared" si="42"/>
        <v>6.9360000000000005E-2</v>
      </c>
      <c r="AO30" s="408">
        <f t="shared" si="26"/>
        <v>0.64483238079835759</v>
      </c>
      <c r="AP30">
        <f t="shared" si="27"/>
        <v>10.5</v>
      </c>
      <c r="AQ30" s="10">
        <f t="shared" si="43"/>
        <v>0.94214068379266513</v>
      </c>
      <c r="AR30" s="63">
        <f t="shared" si="28"/>
        <v>2.7872926680722889</v>
      </c>
      <c r="AS30" s="63">
        <f t="shared" si="44"/>
        <v>3.3266756221633678</v>
      </c>
      <c r="AT30" s="10"/>
      <c r="AU30">
        <f t="shared" si="45"/>
        <v>94.214068379266507</v>
      </c>
      <c r="BD30">
        <v>9.9987659999999998</v>
      </c>
      <c r="BE30">
        <v>0.2681</v>
      </c>
      <c r="BF30">
        <v>5.1224080000000001</v>
      </c>
      <c r="BG30">
        <v>80.957553445887683</v>
      </c>
      <c r="BH30">
        <v>323.02506068319997</v>
      </c>
    </row>
    <row r="31" spans="1:69" x14ac:dyDescent="0.2">
      <c r="A31" s="32" t="s">
        <v>238</v>
      </c>
      <c r="B31" s="37">
        <v>0.9</v>
      </c>
      <c r="C31" s="416" t="s">
        <v>208</v>
      </c>
      <c r="D31" s="31" t="s">
        <v>205</v>
      </c>
      <c r="G31">
        <v>22</v>
      </c>
      <c r="H31">
        <f t="shared" si="0"/>
        <v>2.2000000000000002</v>
      </c>
      <c r="I31" s="407">
        <f t="shared" si="1"/>
        <v>0.39874603174603179</v>
      </c>
      <c r="J31" s="408">
        <f t="shared" si="2"/>
        <v>6.5765404541446202</v>
      </c>
      <c r="K31" s="408">
        <f t="shared" si="31"/>
        <v>5.4882702270723103</v>
      </c>
      <c r="L31" s="408">
        <f t="shared" si="32"/>
        <v>-1.0882702270723099</v>
      </c>
      <c r="M31" s="63">
        <f t="shared" si="3"/>
        <v>12.6</v>
      </c>
      <c r="N31" s="407">
        <f t="shared" si="4"/>
        <v>2.90589751403648</v>
      </c>
      <c r="O31" s="407">
        <f t="shared" si="5"/>
        <v>4.2364295528100823E-2</v>
      </c>
      <c r="P31">
        <f t="shared" si="6"/>
        <v>0.2</v>
      </c>
      <c r="Q31" s="407">
        <f t="shared" si="34"/>
        <v>0.24236429552810085</v>
      </c>
      <c r="R31" s="9">
        <f t="shared" si="39"/>
        <v>1.8984837007684301</v>
      </c>
      <c r="S31" s="9">
        <f t="shared" si="7"/>
        <v>3.604240362083394E-3</v>
      </c>
      <c r="T31" s="9">
        <f t="shared" si="40"/>
        <v>3.604240362083394E-3</v>
      </c>
      <c r="U31" s="407">
        <f t="shared" si="8"/>
        <v>1.8349679385456381</v>
      </c>
      <c r="V31" s="409">
        <f t="shared" si="9"/>
        <v>6.7342146709808573E-3</v>
      </c>
      <c r="W31" s="407">
        <f t="shared" si="41"/>
        <v>6.7342146709808573E-3</v>
      </c>
      <c r="X31" s="407">
        <f t="shared" si="10"/>
        <v>1.8349679385456381</v>
      </c>
      <c r="Y31" s="407">
        <f t="shared" si="11"/>
        <v>2.0202644012942573E-2</v>
      </c>
      <c r="Z31" s="407">
        <f t="shared" si="12"/>
        <v>2.9613414787581688E-2</v>
      </c>
      <c r="AA31" s="407">
        <f t="shared" si="13"/>
        <v>0</v>
      </c>
      <c r="AB31" s="407">
        <f t="shared" si="14"/>
        <v>6.6863322751322708E-3</v>
      </c>
      <c r="AC31" s="407">
        <f t="shared" si="15"/>
        <v>5.6731616807384186E-2</v>
      </c>
      <c r="AD31" s="407">
        <f t="shared" si="16"/>
        <v>2.2532494372778542</v>
      </c>
      <c r="AE31" s="407">
        <f t="shared" si="17"/>
        <v>3.04627981595578E-2</v>
      </c>
      <c r="AF31" s="407">
        <f t="shared" si="18"/>
        <v>3.7934923809523804E-2</v>
      </c>
      <c r="AG31" s="407">
        <f t="shared" si="19"/>
        <v>6.8816993606316962E-2</v>
      </c>
      <c r="AH31" s="407">
        <f t="shared" si="20"/>
        <v>0</v>
      </c>
      <c r="AI31">
        <f t="shared" si="21"/>
        <v>0</v>
      </c>
      <c r="AJ31" s="408">
        <f t="shared" si="22"/>
        <v>0.20299991040000001</v>
      </c>
      <c r="AK31">
        <f t="shared" si="23"/>
        <v>2.52E-2</v>
      </c>
      <c r="AL31" s="408">
        <f t="shared" si="24"/>
        <v>4.4160000000000005E-2</v>
      </c>
      <c r="AM31" s="408">
        <f t="shared" si="25"/>
        <v>4.9347355729984298E-2</v>
      </c>
      <c r="AN31" s="408">
        <f t="shared" si="42"/>
        <v>6.9360000000000005E-2</v>
      </c>
      <c r="AO31" s="408">
        <f t="shared" si="26"/>
        <v>0.6506112713748663</v>
      </c>
      <c r="AP31">
        <f t="shared" si="27"/>
        <v>11</v>
      </c>
      <c r="AQ31" s="10">
        <f t="shared" si="43"/>
        <v>0.94415646902807615</v>
      </c>
      <c r="AR31" s="63">
        <f t="shared" si="28"/>
        <v>2.8365808403692094</v>
      </c>
      <c r="AS31" s="63">
        <f t="shared" si="44"/>
        <v>3.4408496803158481</v>
      </c>
      <c r="AT31" s="10"/>
      <c r="AU31">
        <f t="shared" si="45"/>
        <v>94.415646902807609</v>
      </c>
      <c r="BD31">
        <v>9.998704</v>
      </c>
      <c r="BE31">
        <v>0.36549999999999999</v>
      </c>
      <c r="BF31">
        <v>5.123094</v>
      </c>
      <c r="BG31">
        <v>85.419022273213088</v>
      </c>
      <c r="BH31">
        <v>319.63300692320018</v>
      </c>
    </row>
    <row r="32" spans="1:69" x14ac:dyDescent="0.2">
      <c r="A32" s="34" t="s">
        <v>133</v>
      </c>
      <c r="B32" s="25" t="s">
        <v>201</v>
      </c>
      <c r="C32" s="34" t="s">
        <v>148</v>
      </c>
      <c r="D32" s="27" t="s">
        <v>188</v>
      </c>
      <c r="G32">
        <v>23</v>
      </c>
      <c r="H32">
        <f t="shared" si="0"/>
        <v>2.3000000000000003</v>
      </c>
      <c r="I32" s="407">
        <f t="shared" si="1"/>
        <v>0.39883333333333332</v>
      </c>
      <c r="J32" s="408">
        <f t="shared" si="2"/>
        <v>6.5779803240740726</v>
      </c>
      <c r="K32" s="408">
        <f t="shared" si="31"/>
        <v>5.588990162037037</v>
      </c>
      <c r="L32" s="408">
        <f t="shared" si="32"/>
        <v>-0.98899016203703605</v>
      </c>
      <c r="M32" s="63">
        <f t="shared" si="3"/>
        <v>12.6</v>
      </c>
      <c r="N32" s="407">
        <f t="shared" si="4"/>
        <v>2.9825859186270121</v>
      </c>
      <c r="O32" s="407">
        <f t="shared" si="5"/>
        <v>4.4637930184694086E-2</v>
      </c>
      <c r="P32">
        <f t="shared" si="6"/>
        <v>0.2</v>
      </c>
      <c r="Q32" s="407">
        <f t="shared" si="34"/>
        <v>0.2446379301846941</v>
      </c>
      <c r="R32" s="9">
        <f t="shared" si="39"/>
        <v>1.8988993554141138</v>
      </c>
      <c r="S32" s="9">
        <f t="shared" si="7"/>
        <v>3.6058187619921371E-3</v>
      </c>
      <c r="T32" s="9">
        <f t="shared" si="40"/>
        <v>3.6058187619921371E-3</v>
      </c>
      <c r="U32" s="407">
        <f t="shared" si="8"/>
        <v>1.8836000237774819</v>
      </c>
      <c r="V32" s="409">
        <f t="shared" si="9"/>
        <v>7.0958980991490603E-3</v>
      </c>
      <c r="W32" s="407">
        <f t="shared" si="41"/>
        <v>7.0958980991490603E-3</v>
      </c>
      <c r="X32" s="407">
        <f t="shared" si="10"/>
        <v>1.8836000237774819</v>
      </c>
      <c r="Y32" s="407">
        <f t="shared" si="11"/>
        <v>2.1287694297447181E-2</v>
      </c>
      <c r="Z32" s="407">
        <f t="shared" si="12"/>
        <v>3.0156875857843126E-2</v>
      </c>
      <c r="AA32" s="407">
        <f t="shared" si="13"/>
        <v>0</v>
      </c>
      <c r="AB32" s="407">
        <f t="shared" si="14"/>
        <v>6.0763555555555489E-3</v>
      </c>
      <c r="AC32" s="407">
        <f t="shared" si="15"/>
        <v>5.7766870406392161E-2</v>
      </c>
      <c r="AD32" s="407">
        <f t="shared" si="16"/>
        <v>2.3125461535756657</v>
      </c>
      <c r="AE32" s="407">
        <f t="shared" si="17"/>
        <v>3.2087218274505641E-2</v>
      </c>
      <c r="AF32" s="407">
        <f t="shared" si="18"/>
        <v>3.8631100000000002E-2</v>
      </c>
      <c r="AG32" s="407">
        <f t="shared" si="19"/>
        <v>7.1175080342234992E-2</v>
      </c>
      <c r="AH32" s="407">
        <f t="shared" si="20"/>
        <v>0</v>
      </c>
      <c r="AI32">
        <f t="shared" si="21"/>
        <v>0</v>
      </c>
      <c r="AJ32" s="408">
        <f t="shared" si="22"/>
        <v>0.20299023359999999</v>
      </c>
      <c r="AK32">
        <f t="shared" si="23"/>
        <v>2.52E-2</v>
      </c>
      <c r="AL32" s="408">
        <f t="shared" si="24"/>
        <v>4.4160000000000005E-2</v>
      </c>
      <c r="AM32" s="408">
        <f t="shared" si="25"/>
        <v>4.9347355729984298E-2</v>
      </c>
      <c r="AN32" s="408">
        <f t="shared" si="42"/>
        <v>6.9360000000000005E-2</v>
      </c>
      <c r="AO32" s="408">
        <f t="shared" si="26"/>
        <v>0.65663183139446235</v>
      </c>
      <c r="AP32">
        <f t="shared" si="27"/>
        <v>11.500000000000002</v>
      </c>
      <c r="AQ32" s="10">
        <f t="shared" si="43"/>
        <v>0.94598571047461422</v>
      </c>
      <c r="AR32" s="63">
        <f t="shared" si="28"/>
        <v>2.8883435203196082</v>
      </c>
      <c r="AS32" s="63">
        <f t="shared" si="44"/>
        <v>3.5587540171117498</v>
      </c>
      <c r="AT32" s="10"/>
      <c r="AU32">
        <f t="shared" si="45"/>
        <v>94.598571047461419</v>
      </c>
      <c r="BD32">
        <v>9.9987290000000009</v>
      </c>
      <c r="BE32">
        <v>0.49059999999999998</v>
      </c>
      <c r="BF32">
        <v>5.1238169999999998</v>
      </c>
      <c r="BG32">
        <v>88.551850267052174</v>
      </c>
      <c r="BH32">
        <v>324.98153184230057</v>
      </c>
    </row>
    <row r="33" spans="1:60" x14ac:dyDescent="0.2">
      <c r="A33" s="32" t="s">
        <v>133</v>
      </c>
      <c r="B33" s="5">
        <v>20</v>
      </c>
      <c r="C33" s="417" t="s">
        <v>147</v>
      </c>
      <c r="D33" s="31" t="s">
        <v>179</v>
      </c>
      <c r="G33">
        <v>24</v>
      </c>
      <c r="H33">
        <f t="shared" si="0"/>
        <v>2.4</v>
      </c>
      <c r="I33" s="407">
        <f t="shared" si="1"/>
        <v>0.3989206349206349</v>
      </c>
      <c r="J33" s="408">
        <f t="shared" si="2"/>
        <v>6.579420194003526</v>
      </c>
      <c r="K33" s="408">
        <f t="shared" si="31"/>
        <v>5.6897100970017629</v>
      </c>
      <c r="L33" s="408">
        <f t="shared" si="32"/>
        <v>-0.88971009700176307</v>
      </c>
      <c r="M33" s="63">
        <f t="shared" si="3"/>
        <v>12.6</v>
      </c>
      <c r="N33" s="407">
        <f t="shared" si="4"/>
        <v>3.0606204448507577</v>
      </c>
      <c r="O33" s="407">
        <f t="shared" si="5"/>
        <v>4.7013143859836036E-2</v>
      </c>
      <c r="P33">
        <f t="shared" si="6"/>
        <v>0.2</v>
      </c>
      <c r="Q33" s="407">
        <f t="shared" si="34"/>
        <v>0.24701314385983605</v>
      </c>
      <c r="R33" s="9">
        <f t="shared" si="39"/>
        <v>1.8993150100597977</v>
      </c>
      <c r="S33" s="9">
        <f t="shared" si="7"/>
        <v>3.6073975074384498E-3</v>
      </c>
      <c r="T33" s="9">
        <f t="shared" si="40"/>
        <v>3.6073975074384498E-3</v>
      </c>
      <c r="U33" s="407">
        <f t="shared" si="8"/>
        <v>1.9330929003080322</v>
      </c>
      <c r="V33" s="409">
        <f t="shared" si="9"/>
        <v>7.4736963224426396E-3</v>
      </c>
      <c r="W33" s="407">
        <f t="shared" si="41"/>
        <v>7.4736963224426396E-3</v>
      </c>
      <c r="X33" s="407">
        <f t="shared" si="10"/>
        <v>1.9330929003080322</v>
      </c>
      <c r="Y33" s="407">
        <f t="shared" si="11"/>
        <v>2.2421088967327918E-2</v>
      </c>
      <c r="Z33" s="407">
        <f t="shared" si="12"/>
        <v>3.0700336928104564E-2</v>
      </c>
      <c r="AA33" s="407">
        <f t="shared" si="13"/>
        <v>0</v>
      </c>
      <c r="AB33" s="407">
        <f t="shared" si="14"/>
        <v>5.4663788359788313E-3</v>
      </c>
      <c r="AC33" s="407">
        <f t="shared" si="15"/>
        <v>5.8851708610337644E-2</v>
      </c>
      <c r="AD33" s="407">
        <f t="shared" si="16"/>
        <v>2.3728778616307098</v>
      </c>
      <c r="AE33" s="407">
        <f t="shared" si="17"/>
        <v>3.378329607730278E-2</v>
      </c>
      <c r="AF33" s="407">
        <f t="shared" si="18"/>
        <v>3.9327276190476185E-2</v>
      </c>
      <c r="AG33" s="407">
        <f t="shared" si="19"/>
        <v>7.3607915870878782E-2</v>
      </c>
      <c r="AH33" s="407">
        <f t="shared" si="20"/>
        <v>0</v>
      </c>
      <c r="AI33">
        <f t="shared" si="21"/>
        <v>0</v>
      </c>
      <c r="AJ33" s="408">
        <f t="shared" si="22"/>
        <v>0.20298055679999999</v>
      </c>
      <c r="AK33">
        <f t="shared" si="23"/>
        <v>2.52E-2</v>
      </c>
      <c r="AL33" s="408">
        <f t="shared" si="24"/>
        <v>4.4160000000000005E-2</v>
      </c>
      <c r="AM33" s="408">
        <f t="shared" si="25"/>
        <v>4.9347355729984298E-2</v>
      </c>
      <c r="AN33" s="408">
        <f t="shared" si="42"/>
        <v>6.9360000000000005E-2</v>
      </c>
      <c r="AO33" s="408">
        <f t="shared" si="26"/>
        <v>0.6628944189709336</v>
      </c>
      <c r="AP33">
        <f t="shared" si="27"/>
        <v>12</v>
      </c>
      <c r="AQ33" s="10">
        <f t="shared" si="43"/>
        <v>0.94765063996918286</v>
      </c>
      <c r="AR33" s="63">
        <f t="shared" si="28"/>
        <v>2.9425854305168824</v>
      </c>
      <c r="AS33" s="63">
        <f t="shared" si="44"/>
        <v>3.6803957935439389</v>
      </c>
      <c r="AT33" s="10"/>
      <c r="AU33">
        <f t="shared" si="45"/>
        <v>94.765063996918286</v>
      </c>
      <c r="BD33">
        <v>9.9986420000000003</v>
      </c>
      <c r="BE33">
        <v>0.64549999999999996</v>
      </c>
      <c r="BF33">
        <v>5.1237300000000001</v>
      </c>
      <c r="BG33">
        <v>90.41893857119905</v>
      </c>
      <c r="BH33">
        <v>350.45848473660021</v>
      </c>
    </row>
    <row r="34" spans="1:60" x14ac:dyDescent="0.2">
      <c r="A34" s="34" t="s">
        <v>119</v>
      </c>
      <c r="B34" s="25" t="s">
        <v>201</v>
      </c>
      <c r="C34" s="34" t="s">
        <v>148</v>
      </c>
      <c r="D34" s="27" t="s">
        <v>188</v>
      </c>
      <c r="G34">
        <v>25</v>
      </c>
      <c r="H34">
        <f t="shared" si="0"/>
        <v>2.5</v>
      </c>
      <c r="I34" s="407">
        <f t="shared" si="1"/>
        <v>0.39900793650793653</v>
      </c>
      <c r="J34" s="408">
        <f t="shared" si="2"/>
        <v>6.5808600639329802</v>
      </c>
      <c r="K34" s="408">
        <f t="shared" si="31"/>
        <v>5.7904300319664905</v>
      </c>
      <c r="L34" s="408">
        <f t="shared" si="32"/>
        <v>-0.79043003196649009</v>
      </c>
      <c r="M34" s="63">
        <f t="shared" si="3"/>
        <v>12.6</v>
      </c>
      <c r="N34" s="407">
        <f t="shared" si="4"/>
        <v>3.1399007306636832</v>
      </c>
      <c r="O34" s="407">
        <f t="shared" si="5"/>
        <v>4.9490051495932906E-2</v>
      </c>
      <c r="P34">
        <f t="shared" si="6"/>
        <v>0.2</v>
      </c>
      <c r="Q34" s="407">
        <f t="shared" si="34"/>
        <v>0.24949005149593292</v>
      </c>
      <c r="R34" s="9">
        <f t="shared" si="39"/>
        <v>1.8997306647054821</v>
      </c>
      <c r="S34" s="9">
        <f t="shared" si="7"/>
        <v>3.6089765984223328E-3</v>
      </c>
      <c r="T34" s="9">
        <f t="shared" si="40"/>
        <v>3.6089765984223328E-3</v>
      </c>
      <c r="U34" s="407">
        <f t="shared" si="8"/>
        <v>1.9833834497183167</v>
      </c>
      <c r="V34" s="409">
        <f t="shared" si="9"/>
        <v>7.8676198172330618E-3</v>
      </c>
      <c r="W34" s="407">
        <f t="shared" si="41"/>
        <v>7.8676198172330618E-3</v>
      </c>
      <c r="X34" s="407">
        <f t="shared" si="10"/>
        <v>1.9833834497183167</v>
      </c>
      <c r="Y34" s="407">
        <f t="shared" si="11"/>
        <v>2.3602859451699185E-2</v>
      </c>
      <c r="Z34" s="407">
        <f t="shared" si="12"/>
        <v>3.1243797998366008E-2</v>
      </c>
      <c r="AA34" s="407">
        <f t="shared" si="13"/>
        <v>0</v>
      </c>
      <c r="AB34" s="407">
        <f t="shared" si="14"/>
        <v>4.8564021164021146E-3</v>
      </c>
      <c r="AC34" s="407">
        <f t="shared" si="15"/>
        <v>5.9986228872289327E-2</v>
      </c>
      <c r="AD34" s="407">
        <f t="shared" si="16"/>
        <v>2.4341665287744392</v>
      </c>
      <c r="AE34" s="407">
        <f t="shared" si="17"/>
        <v>3.5551000138834818E-2</v>
      </c>
      <c r="AF34" s="407">
        <f t="shared" si="18"/>
        <v>4.0023452380952382E-2</v>
      </c>
      <c r="AG34" s="407">
        <f t="shared" si="19"/>
        <v>7.6115650016649078E-2</v>
      </c>
      <c r="AH34" s="407">
        <f t="shared" si="20"/>
        <v>0</v>
      </c>
      <c r="AI34">
        <f t="shared" si="21"/>
        <v>0</v>
      </c>
      <c r="AJ34" s="408">
        <f t="shared" si="22"/>
        <v>0.20297087999999999</v>
      </c>
      <c r="AK34">
        <f t="shared" si="23"/>
        <v>2.52E-2</v>
      </c>
      <c r="AL34" s="408">
        <f t="shared" si="24"/>
        <v>4.4160000000000005E-2</v>
      </c>
      <c r="AM34" s="408">
        <f t="shared" si="25"/>
        <v>4.9347355729984298E-2</v>
      </c>
      <c r="AN34" s="408">
        <f t="shared" si="42"/>
        <v>6.9360000000000005E-2</v>
      </c>
      <c r="AO34" s="408">
        <f t="shared" si="26"/>
        <v>0.66939940680052668</v>
      </c>
      <c r="AP34">
        <f t="shared" si="27"/>
        <v>12.5</v>
      </c>
      <c r="AQ34" s="10">
        <f t="shared" si="43"/>
        <v>0.94917008846623208</v>
      </c>
      <c r="AR34" s="63">
        <f t="shared" si="28"/>
        <v>2.9993114436144666</v>
      </c>
      <c r="AS34" s="63">
        <f t="shared" si="44"/>
        <v>3.805782500832454</v>
      </c>
      <c r="AT34" s="10"/>
      <c r="AU34">
        <f t="shared" si="45"/>
        <v>94.917008846623204</v>
      </c>
      <c r="BD34">
        <v>9.9986049999999995</v>
      </c>
      <c r="BE34">
        <v>0.83240000000000003</v>
      </c>
      <c r="BF34">
        <v>5.1231559999999998</v>
      </c>
      <c r="BG34">
        <v>91.678946361105133</v>
      </c>
      <c r="BH34">
        <v>387.05996035199956</v>
      </c>
    </row>
    <row r="35" spans="1:60" x14ac:dyDescent="0.2">
      <c r="A35" s="32" t="s">
        <v>249</v>
      </c>
      <c r="B35" s="5">
        <v>2</v>
      </c>
      <c r="C35" s="417" t="s">
        <v>135</v>
      </c>
      <c r="D35" s="31" t="s">
        <v>259</v>
      </c>
      <c r="G35">
        <v>26</v>
      </c>
      <c r="H35">
        <f t="shared" si="0"/>
        <v>2.6</v>
      </c>
      <c r="I35" s="407">
        <f t="shared" si="1"/>
        <v>0.39909523809523811</v>
      </c>
      <c r="J35" s="408">
        <f t="shared" si="2"/>
        <v>6.5822999338624335</v>
      </c>
      <c r="K35" s="408">
        <f t="shared" si="31"/>
        <v>5.8911499669312164</v>
      </c>
      <c r="L35" s="408">
        <f t="shared" si="32"/>
        <v>-0.69114996693121666</v>
      </c>
      <c r="M35" s="63">
        <f t="shared" si="3"/>
        <v>12.6</v>
      </c>
      <c r="N35" s="407">
        <f t="shared" si="4"/>
        <v>3.2203347706323613</v>
      </c>
      <c r="O35" s="407">
        <f t="shared" si="5"/>
        <v>5.2068773026053908E-2</v>
      </c>
      <c r="P35">
        <f t="shared" si="6"/>
        <v>0.2</v>
      </c>
      <c r="Q35" s="407">
        <f t="shared" si="34"/>
        <v>0.25206877302605391</v>
      </c>
      <c r="R35" s="9">
        <f t="shared" si="39"/>
        <v>1.9001463193511661</v>
      </c>
      <c r="S35" s="9">
        <f t="shared" si="7"/>
        <v>3.610556034943784E-3</v>
      </c>
      <c r="T35" s="9">
        <f t="shared" si="40"/>
        <v>3.610556034943784E-3</v>
      </c>
      <c r="U35" s="407">
        <f t="shared" si="8"/>
        <v>2.0344138049929512</v>
      </c>
      <c r="V35" s="409">
        <f t="shared" si="9"/>
        <v>8.277679059891796E-3</v>
      </c>
      <c r="W35" s="407">
        <f t="shared" si="41"/>
        <v>8.277679059891796E-3</v>
      </c>
      <c r="X35" s="407">
        <f t="shared" si="10"/>
        <v>2.0344138049929512</v>
      </c>
      <c r="Y35" s="407">
        <f t="shared" si="11"/>
        <v>2.4833037179675388E-2</v>
      </c>
      <c r="Z35" s="407">
        <f t="shared" si="12"/>
        <v>3.1787259068627442E-2</v>
      </c>
      <c r="AA35" s="407">
        <f t="shared" si="13"/>
        <v>0</v>
      </c>
      <c r="AB35" s="407">
        <f t="shared" si="14"/>
        <v>4.2464253968253944E-3</v>
      </c>
      <c r="AC35" s="407">
        <f t="shared" si="15"/>
        <v>6.117053166254352E-2</v>
      </c>
      <c r="AD35" s="407">
        <f t="shared" si="16"/>
        <v>2.4963406227912657</v>
      </c>
      <c r="AE35" s="407">
        <f t="shared" si="17"/>
        <v>3.7390299029987306E-2</v>
      </c>
      <c r="AF35" s="407">
        <f t="shared" si="18"/>
        <v>4.0719628571428565E-2</v>
      </c>
      <c r="AG35" s="407">
        <f t="shared" si="19"/>
        <v>7.869843923666632E-2</v>
      </c>
      <c r="AH35" s="407">
        <f t="shared" si="20"/>
        <v>0</v>
      </c>
      <c r="AI35">
        <f t="shared" si="21"/>
        <v>0</v>
      </c>
      <c r="AJ35" s="408">
        <f t="shared" si="22"/>
        <v>0.2029612032</v>
      </c>
      <c r="AK35">
        <f t="shared" si="23"/>
        <v>2.52E-2</v>
      </c>
      <c r="AL35" s="408">
        <f t="shared" si="24"/>
        <v>4.4160000000000005E-2</v>
      </c>
      <c r="AM35" s="408">
        <f t="shared" si="25"/>
        <v>4.9347355729984298E-2</v>
      </c>
      <c r="AN35" s="408">
        <f t="shared" si="42"/>
        <v>6.9360000000000005E-2</v>
      </c>
      <c r="AO35" s="408">
        <f t="shared" si="26"/>
        <v>0.67614718222009929</v>
      </c>
      <c r="AP35">
        <f t="shared" si="27"/>
        <v>13</v>
      </c>
      <c r="AQ35" s="10">
        <f t="shared" si="43"/>
        <v>0.95056011220037651</v>
      </c>
      <c r="AR35" s="63">
        <f t="shared" si="28"/>
        <v>3.058526583127176</v>
      </c>
      <c r="AS35" s="63">
        <f t="shared" si="44"/>
        <v>3.9349219618333162</v>
      </c>
      <c r="AT35" s="10"/>
      <c r="AU35">
        <f t="shared" si="45"/>
        <v>95.056011220037647</v>
      </c>
      <c r="BD35">
        <v>9.9986049999999995</v>
      </c>
      <c r="BE35">
        <v>1.0528999999999999</v>
      </c>
      <c r="BF35">
        <v>5.1218219999999999</v>
      </c>
      <c r="BG35">
        <v>92.889938966292178</v>
      </c>
      <c r="BH35">
        <v>412.77762981700039</v>
      </c>
    </row>
    <row r="36" spans="1:60" x14ac:dyDescent="0.2">
      <c r="A36" s="34" t="s">
        <v>129</v>
      </c>
      <c r="B36" s="25" t="s">
        <v>201</v>
      </c>
      <c r="C36" s="34" t="s">
        <v>148</v>
      </c>
      <c r="D36" s="27" t="s">
        <v>188</v>
      </c>
      <c r="G36">
        <v>27</v>
      </c>
      <c r="H36">
        <f t="shared" si="0"/>
        <v>2.7</v>
      </c>
      <c r="I36" s="407">
        <f t="shared" si="1"/>
        <v>0.39918253968253969</v>
      </c>
      <c r="J36" s="408">
        <f t="shared" si="2"/>
        <v>6.5837398037918868</v>
      </c>
      <c r="K36" s="408">
        <f t="shared" si="31"/>
        <v>5.991869901895944</v>
      </c>
      <c r="L36" s="408">
        <f t="shared" si="32"/>
        <v>-0.59186990189594324</v>
      </c>
      <c r="M36" s="63">
        <f t="shared" si="3"/>
        <v>12.6</v>
      </c>
      <c r="N36" s="407">
        <f t="shared" si="4"/>
        <v>3.3018382481585626</v>
      </c>
      <c r="O36" s="407">
        <f t="shared" si="5"/>
        <v>5.4749433388496166E-2</v>
      </c>
      <c r="P36">
        <f t="shared" si="6"/>
        <v>0.2</v>
      </c>
      <c r="Q36" s="407">
        <f t="shared" si="34"/>
        <v>0.2547494333884962</v>
      </c>
      <c r="R36" s="9">
        <f t="shared" si="39"/>
        <v>1.90056197399685</v>
      </c>
      <c r="S36" s="9">
        <f t="shared" si="7"/>
        <v>3.6121358170028033E-3</v>
      </c>
      <c r="T36" s="9">
        <f t="shared" si="40"/>
        <v>3.6121358170028033E-3</v>
      </c>
      <c r="U36" s="407">
        <f t="shared" si="8"/>
        <v>2.0861309315081735</v>
      </c>
      <c r="V36" s="409">
        <f t="shared" si="9"/>
        <v>8.70388452679032E-3</v>
      </c>
      <c r="W36" s="407">
        <f t="shared" si="41"/>
        <v>8.70388452679032E-3</v>
      </c>
      <c r="X36" s="407">
        <f t="shared" si="10"/>
        <v>2.0861309315081735</v>
      </c>
      <c r="Y36" s="407">
        <f t="shared" si="11"/>
        <v>2.6111653580370962E-2</v>
      </c>
      <c r="Z36" s="407">
        <f t="shared" si="12"/>
        <v>3.2330720138888887E-2</v>
      </c>
      <c r="AA36" s="407">
        <f t="shared" si="13"/>
        <v>0</v>
      </c>
      <c r="AB36" s="407">
        <f t="shared" si="14"/>
        <v>3.6364486772486751E-3</v>
      </c>
      <c r="AC36" s="407">
        <f t="shared" si="15"/>
        <v>6.240472048512602E-2</v>
      </c>
      <c r="AD36" s="407">
        <f t="shared" si="16"/>
        <v>2.5593345919608961</v>
      </c>
      <c r="AE36" s="407">
        <f t="shared" si="17"/>
        <v>3.9301161321645878E-2</v>
      </c>
      <c r="AF36" s="407">
        <f t="shared" si="18"/>
        <v>4.1415804761904762E-2</v>
      </c>
      <c r="AG36" s="407">
        <f t="shared" si="19"/>
        <v>8.1356446650423478E-2</v>
      </c>
      <c r="AH36" s="407">
        <f t="shared" si="20"/>
        <v>0</v>
      </c>
      <c r="AI36">
        <f t="shared" si="21"/>
        <v>0</v>
      </c>
      <c r="AJ36" s="408">
        <f t="shared" si="22"/>
        <v>0.2029515264</v>
      </c>
      <c r="AK36">
        <f t="shared" si="23"/>
        <v>2.52E-2</v>
      </c>
      <c r="AL36" s="408">
        <f t="shared" si="24"/>
        <v>4.4160000000000005E-2</v>
      </c>
      <c r="AM36" s="408">
        <f t="shared" si="25"/>
        <v>4.9347355729984298E-2</v>
      </c>
      <c r="AN36" s="408">
        <f t="shared" si="42"/>
        <v>6.9360000000000005E-2</v>
      </c>
      <c r="AO36" s="408">
        <f t="shared" si="26"/>
        <v>0.68313814726783884</v>
      </c>
      <c r="AP36">
        <f t="shared" si="27"/>
        <v>13.5</v>
      </c>
      <c r="AQ36" s="10">
        <f t="shared" si="43"/>
        <v>0.95183448541679516</v>
      </c>
      <c r="AR36" s="63">
        <f t="shared" si="28"/>
        <v>3.1202360242563012</v>
      </c>
      <c r="AS36" s="63">
        <f t="shared" si="44"/>
        <v>4.0678223325211738</v>
      </c>
      <c r="AT36" s="10"/>
      <c r="AU36">
        <f t="shared" si="45"/>
        <v>95.18344854167951</v>
      </c>
      <c r="BD36">
        <v>9.9986669999999993</v>
      </c>
      <c r="BE36">
        <v>1.3092999999999999</v>
      </c>
      <c r="BF36">
        <v>5.1195649999999997</v>
      </c>
      <c r="BG36">
        <v>93.690364214923264</v>
      </c>
      <c r="BH36">
        <v>451.42072788069993</v>
      </c>
    </row>
    <row r="37" spans="1:60" x14ac:dyDescent="0.2">
      <c r="A37" s="33" t="s">
        <v>142</v>
      </c>
      <c r="B37" s="5">
        <f>RdsonTop*1000</f>
        <v>6</v>
      </c>
      <c r="C37" s="417" t="s">
        <v>621</v>
      </c>
      <c r="D37" s="31" t="s">
        <v>194</v>
      </c>
      <c r="G37">
        <v>28</v>
      </c>
      <c r="H37">
        <f t="shared" si="0"/>
        <v>2.8000000000000003</v>
      </c>
      <c r="I37" s="407">
        <f t="shared" si="1"/>
        <v>0.39926984126984127</v>
      </c>
      <c r="J37" s="408">
        <f t="shared" si="2"/>
        <v>6.5851796737213393</v>
      </c>
      <c r="K37" s="408">
        <f t="shared" si="31"/>
        <v>6.0925898368606699</v>
      </c>
      <c r="L37" s="408">
        <f t="shared" si="32"/>
        <v>-0.49258983686066937</v>
      </c>
      <c r="M37" s="63">
        <f t="shared" si="3"/>
        <v>12.6</v>
      </c>
      <c r="N37" s="407">
        <f t="shared" si="4"/>
        <v>3.3843338996912511</v>
      </c>
      <c r="O37" s="407">
        <f t="shared" si="5"/>
        <v>5.7532162541970661E-2</v>
      </c>
      <c r="P37">
        <f t="shared" si="6"/>
        <v>0.2</v>
      </c>
      <c r="Q37" s="407">
        <f t="shared" si="34"/>
        <v>0.25753216254197064</v>
      </c>
      <c r="R37" s="9">
        <f t="shared" si="39"/>
        <v>1.9009776286425337</v>
      </c>
      <c r="S37" s="9">
        <f t="shared" si="7"/>
        <v>3.6137159445993909E-3</v>
      </c>
      <c r="T37" s="9">
        <f t="shared" si="40"/>
        <v>3.6137159445993909E-3</v>
      </c>
      <c r="U37" s="407">
        <f t="shared" si="8"/>
        <v>2.138486227954262</v>
      </c>
      <c r="V37" s="409">
        <f t="shared" si="9"/>
        <v>9.1462466943000968E-3</v>
      </c>
      <c r="W37" s="407">
        <f t="shared" si="41"/>
        <v>9.1462466943000968E-3</v>
      </c>
      <c r="X37" s="407">
        <f t="shared" si="10"/>
        <v>2.138486227954262</v>
      </c>
      <c r="Y37" s="407">
        <f t="shared" si="11"/>
        <v>2.743874008290029E-2</v>
      </c>
      <c r="Z37" s="407">
        <f t="shared" si="12"/>
        <v>3.2874181209150317E-2</v>
      </c>
      <c r="AA37" s="407">
        <f t="shared" si="13"/>
        <v>0</v>
      </c>
      <c r="AB37" s="407">
        <f t="shared" si="14"/>
        <v>3.0264719576719524E-3</v>
      </c>
      <c r="AC37" s="407">
        <f t="shared" si="15"/>
        <v>6.3688901894773761E-2</v>
      </c>
      <c r="AD37" s="407">
        <f t="shared" si="16"/>
        <v>2.6230883701181975</v>
      </c>
      <c r="AE37" s="407">
        <f t="shared" si="17"/>
        <v>4.1283555584696048E-2</v>
      </c>
      <c r="AF37" s="407">
        <f t="shared" si="18"/>
        <v>4.2111980952380952E-2</v>
      </c>
      <c r="AG37" s="407">
        <f t="shared" si="19"/>
        <v>8.408984207092568E-2</v>
      </c>
      <c r="AH37" s="407">
        <f t="shared" si="20"/>
        <v>0</v>
      </c>
      <c r="AI37">
        <f t="shared" si="21"/>
        <v>0</v>
      </c>
      <c r="AJ37" s="408">
        <f t="shared" si="22"/>
        <v>0.2029418496</v>
      </c>
      <c r="AK37">
        <f t="shared" si="23"/>
        <v>2.52E-2</v>
      </c>
      <c r="AL37" s="408">
        <f t="shared" si="24"/>
        <v>4.4160000000000005E-2</v>
      </c>
      <c r="AM37" s="408">
        <f t="shared" si="25"/>
        <v>4.9347355729984298E-2</v>
      </c>
      <c r="AN37" s="408">
        <f t="shared" si="42"/>
        <v>6.9360000000000005E-2</v>
      </c>
      <c r="AO37" s="408">
        <f t="shared" si="26"/>
        <v>0.69037271874656969</v>
      </c>
      <c r="AP37">
        <f t="shared" si="27"/>
        <v>14.000000000000002</v>
      </c>
      <c r="AQ37" s="10">
        <f t="shared" si="43"/>
        <v>0.95300509170433934</v>
      </c>
      <c r="AR37" s="63">
        <f t="shared" si="28"/>
        <v>3.1844450947386882</v>
      </c>
      <c r="AS37" s="63">
        <f t="shared" si="44"/>
        <v>4.2044921035462837</v>
      </c>
      <c r="AT37" s="10"/>
      <c r="AU37">
        <f t="shared" si="45"/>
        <v>95.300509170433941</v>
      </c>
      <c r="BD37">
        <v>9.9985429999999997</v>
      </c>
      <c r="BE37">
        <v>1.6020000000000001</v>
      </c>
      <c r="BF37">
        <v>5.1182809999999996</v>
      </c>
      <c r="BG37">
        <v>93.864473327748414</v>
      </c>
      <c r="BH37">
        <v>535.96589716749952</v>
      </c>
    </row>
    <row r="38" spans="1:60" x14ac:dyDescent="0.2">
      <c r="A38" s="32" t="s">
        <v>152</v>
      </c>
      <c r="B38" s="5">
        <v>4500</v>
      </c>
      <c r="C38" s="417" t="s">
        <v>622</v>
      </c>
      <c r="D38" s="31" t="s">
        <v>193</v>
      </c>
      <c r="G38">
        <v>29</v>
      </c>
      <c r="H38">
        <f t="shared" si="0"/>
        <v>2.9</v>
      </c>
      <c r="I38" s="407">
        <f t="shared" si="1"/>
        <v>0.39935714285714291</v>
      </c>
      <c r="J38" s="408">
        <f t="shared" si="2"/>
        <v>6.5866195436507935</v>
      </c>
      <c r="K38" s="408">
        <f t="shared" si="31"/>
        <v>6.1933097718253967</v>
      </c>
      <c r="L38" s="408">
        <f t="shared" si="32"/>
        <v>-0.39330977182539684</v>
      </c>
      <c r="M38" s="63">
        <f t="shared" si="3"/>
        <v>12.6</v>
      </c>
      <c r="N38" s="407">
        <f t="shared" si="4"/>
        <v>3.4677509163337481</v>
      </c>
      <c r="O38" s="407">
        <f t="shared" si="5"/>
        <v>6.0417095481412747E-2</v>
      </c>
      <c r="P38">
        <f t="shared" si="6"/>
        <v>0.2</v>
      </c>
      <c r="Q38" s="407">
        <f t="shared" si="34"/>
        <v>0.26041709548141279</v>
      </c>
      <c r="R38" s="9">
        <f t="shared" si="39"/>
        <v>1.9013932832882179</v>
      </c>
      <c r="S38" s="9">
        <f t="shared" si="7"/>
        <v>3.6152964177335496E-3</v>
      </c>
      <c r="T38" s="9">
        <f t="shared" si="40"/>
        <v>3.6152964177335496E-3</v>
      </c>
      <c r="U38" s="407">
        <f t="shared" si="8"/>
        <v>2.1914351506253396</v>
      </c>
      <c r="V38" s="409">
        <f t="shared" si="9"/>
        <v>9.6047760387926104E-3</v>
      </c>
      <c r="W38" s="407">
        <f t="shared" si="41"/>
        <v>9.6047760387926104E-3</v>
      </c>
      <c r="X38" s="407">
        <f t="shared" si="10"/>
        <v>2.1914351506253396</v>
      </c>
      <c r="Y38" s="407">
        <f t="shared" si="11"/>
        <v>2.8814328116377828E-2</v>
      </c>
      <c r="Z38" s="407">
        <f t="shared" si="12"/>
        <v>3.3417642279411755E-2</v>
      </c>
      <c r="AA38" s="407">
        <f t="shared" si="13"/>
        <v>0</v>
      </c>
      <c r="AB38" s="407">
        <f t="shared" si="14"/>
        <v>2.4164952380952382E-3</v>
      </c>
      <c r="AC38" s="407">
        <f t="shared" si="15"/>
        <v>6.502318551440163E-2</v>
      </c>
      <c r="AD38" s="407">
        <f t="shared" si="16"/>
        <v>2.6875469109091368</v>
      </c>
      <c r="AE38" s="407">
        <f t="shared" si="17"/>
        <v>4.3337450390023464E-2</v>
      </c>
      <c r="AF38" s="407">
        <f t="shared" si="18"/>
        <v>4.2808157142857142E-2</v>
      </c>
      <c r="AG38" s="407">
        <f t="shared" si="19"/>
        <v>8.6898802037329664E-2</v>
      </c>
      <c r="AH38" s="407">
        <f t="shared" si="20"/>
        <v>0</v>
      </c>
      <c r="AI38">
        <f t="shared" si="21"/>
        <v>0</v>
      </c>
      <c r="AJ38" s="408">
        <f t="shared" si="22"/>
        <v>0.20293217279999998</v>
      </c>
      <c r="AK38">
        <f t="shared" si="23"/>
        <v>2.52E-2</v>
      </c>
      <c r="AL38" s="408">
        <f t="shared" si="24"/>
        <v>4.4160000000000005E-2</v>
      </c>
      <c r="AM38" s="408">
        <f t="shared" si="25"/>
        <v>4.9347355729984298E-2</v>
      </c>
      <c r="AN38" s="408">
        <f t="shared" si="42"/>
        <v>6.9360000000000005E-2</v>
      </c>
      <c r="AO38" s="408">
        <f t="shared" si="26"/>
        <v>0.69785132828967023</v>
      </c>
      <c r="AP38">
        <f t="shared" si="27"/>
        <v>14.5</v>
      </c>
      <c r="AQ38" s="10">
        <f t="shared" si="43"/>
        <v>0.95408223746795884</v>
      </c>
      <c r="AR38" s="63">
        <f t="shared" si="28"/>
        <v>3.2511592757200813</v>
      </c>
      <c r="AS38" s="63">
        <f t="shared" si="44"/>
        <v>4.3449401018664835</v>
      </c>
      <c r="AT38" s="10"/>
      <c r="AU38">
        <f t="shared" si="45"/>
        <v>95.408223746795883</v>
      </c>
      <c r="BD38">
        <v>9.9985429999999997</v>
      </c>
      <c r="BE38">
        <v>1.9350000000000001</v>
      </c>
      <c r="BF38">
        <v>5.117146</v>
      </c>
      <c r="BG38">
        <v>94.224527198076927</v>
      </c>
      <c r="BH38">
        <v>606.92116405899924</v>
      </c>
    </row>
    <row r="39" spans="1:60" x14ac:dyDescent="0.2">
      <c r="A39" s="33" t="s">
        <v>141</v>
      </c>
      <c r="B39" s="5">
        <f>QgTop*1000000000</f>
        <v>11.5</v>
      </c>
      <c r="C39" s="417" t="s">
        <v>136</v>
      </c>
      <c r="D39" s="31" t="s">
        <v>180</v>
      </c>
      <c r="G39">
        <v>30</v>
      </c>
      <c r="H39">
        <f t="shared" si="0"/>
        <v>3</v>
      </c>
      <c r="I39" s="407">
        <f t="shared" si="1"/>
        <v>0.39944444444444444</v>
      </c>
      <c r="J39" s="408">
        <f t="shared" si="2"/>
        <v>6.5880594135802459</v>
      </c>
      <c r="K39" s="408">
        <f t="shared" si="31"/>
        <v>6.2940297067901234</v>
      </c>
      <c r="L39" s="408">
        <f t="shared" si="32"/>
        <v>-0.29402970679012297</v>
      </c>
      <c r="M39" s="63">
        <f t="shared" si="3"/>
        <v>10.501060956790106</v>
      </c>
      <c r="N39" s="407">
        <f t="shared" si="4"/>
        <v>3.552024385671539</v>
      </c>
      <c r="O39" s="407">
        <f t="shared" si="5"/>
        <v>6.3404372254420513E-2</v>
      </c>
      <c r="P39">
        <f t="shared" si="6"/>
        <v>0.2</v>
      </c>
      <c r="Q39" s="407">
        <f t="shared" si="34"/>
        <v>0.26340437225442054</v>
      </c>
      <c r="R39" s="9">
        <f t="shared" si="39"/>
        <v>1.9018089379339016</v>
      </c>
      <c r="S39" s="9">
        <f t="shared" si="7"/>
        <v>3.6168772364052748E-3</v>
      </c>
      <c r="T39" s="9">
        <f t="shared" si="40"/>
        <v>3.6168772364052748E-3</v>
      </c>
      <c r="U39" s="407">
        <f t="shared" si="8"/>
        <v>2.2449368628804822</v>
      </c>
      <c r="V39" s="409">
        <f t="shared" si="9"/>
        <v>1.0079483036639322E-2</v>
      </c>
      <c r="W39" s="407">
        <f t="shared" si="41"/>
        <v>1.0079483036639322E-2</v>
      </c>
      <c r="X39" s="407">
        <f t="shared" si="10"/>
        <v>2.2449368628804822</v>
      </c>
      <c r="Y39" s="407">
        <f t="shared" si="11"/>
        <v>3.0238449109917968E-2</v>
      </c>
      <c r="Z39" s="407">
        <f t="shared" si="12"/>
        <v>3.3961103349673193E-2</v>
      </c>
      <c r="AA39" s="407">
        <f t="shared" si="13"/>
        <v>1.0746567901234658E-2</v>
      </c>
      <c r="AB39" s="407">
        <f t="shared" si="14"/>
        <v>1.8065185185185155E-3</v>
      </c>
      <c r="AC39" s="407">
        <f t="shared" si="15"/>
        <v>7.7219639306032664E-2</v>
      </c>
      <c r="AD39" s="407">
        <f t="shared" si="16"/>
        <v>2.7526597534177033</v>
      </c>
      <c r="AE39" s="407">
        <f t="shared" si="17"/>
        <v>4.546281430851367E-2</v>
      </c>
      <c r="AF39" s="407">
        <f t="shared" si="18"/>
        <v>4.3504333333333332E-2</v>
      </c>
      <c r="AG39" s="407">
        <f t="shared" si="19"/>
        <v>8.9783509849094195E-2</v>
      </c>
      <c r="AH39" s="407">
        <f t="shared" si="20"/>
        <v>0</v>
      </c>
      <c r="AI39">
        <f t="shared" si="21"/>
        <v>0</v>
      </c>
      <c r="AJ39" s="408">
        <f t="shared" si="22"/>
        <v>0.20292249599999998</v>
      </c>
      <c r="AK39">
        <f t="shared" si="23"/>
        <v>2.52E-2</v>
      </c>
      <c r="AL39" s="408">
        <f t="shared" si="24"/>
        <v>4.4160000000000005E-2</v>
      </c>
      <c r="AM39" s="408">
        <f t="shared" si="25"/>
        <v>4.9347355729984298E-2</v>
      </c>
      <c r="AN39" s="408">
        <f t="shared" si="42"/>
        <v>6.9360000000000005E-2</v>
      </c>
      <c r="AO39" s="408">
        <f t="shared" si="26"/>
        <v>0.71638637768259195</v>
      </c>
      <c r="AP39">
        <f t="shared" si="27"/>
        <v>15</v>
      </c>
      <c r="AQ39" s="10">
        <f t="shared" si="43"/>
        <v>0.95441786932014683</v>
      </c>
      <c r="AR39" s="63">
        <f t="shared" si="28"/>
        <v>3.8609819653016331</v>
      </c>
      <c r="AS39" s="63">
        <f t="shared" si="44"/>
        <v>4.4891754924547094</v>
      </c>
      <c r="AT39" s="10"/>
      <c r="AU39">
        <f t="shared" si="45"/>
        <v>95.441786932014679</v>
      </c>
      <c r="BD39">
        <v>9.9985060000000008</v>
      </c>
      <c r="BE39">
        <v>2.31</v>
      </c>
      <c r="BF39">
        <v>5.1166349999999996</v>
      </c>
      <c r="BG39">
        <v>94.492663502717292</v>
      </c>
      <c r="BH39">
        <v>688.87413060200208</v>
      </c>
    </row>
    <row r="40" spans="1:60" x14ac:dyDescent="0.2">
      <c r="A40" s="33" t="s">
        <v>218</v>
      </c>
      <c r="B40" s="5">
        <f>QgdTop*1000000000</f>
        <v>2.9</v>
      </c>
      <c r="C40" s="417" t="s">
        <v>136</v>
      </c>
      <c r="D40" s="31" t="s">
        <v>219</v>
      </c>
      <c r="G40">
        <v>31</v>
      </c>
      <c r="H40">
        <f t="shared" si="0"/>
        <v>3.1</v>
      </c>
      <c r="I40" s="407">
        <f t="shared" si="1"/>
        <v>0.39953174603174607</v>
      </c>
      <c r="J40" s="408">
        <f t="shared" si="2"/>
        <v>6.5894992835097002</v>
      </c>
      <c r="K40" s="408">
        <f t="shared" si="31"/>
        <v>6.3947496417548502</v>
      </c>
      <c r="L40" s="408">
        <f t="shared" si="32"/>
        <v>-0.19474964175484999</v>
      </c>
      <c r="M40" s="63">
        <f t="shared" si="3"/>
        <v>6.9553443483874986</v>
      </c>
      <c r="N40" s="407">
        <f t="shared" si="4"/>
        <v>3.63709477476386</v>
      </c>
      <c r="O40" s="407">
        <f t="shared" si="5"/>
        <v>6.6494137978325263E-2</v>
      </c>
      <c r="P40">
        <f t="shared" si="6"/>
        <v>0.2</v>
      </c>
      <c r="Q40" s="407">
        <f t="shared" si="34"/>
        <v>0.26649413797832527</v>
      </c>
      <c r="R40" s="9">
        <f t="shared" si="39"/>
        <v>1.9022245925795858</v>
      </c>
      <c r="S40" s="9">
        <f t="shared" si="7"/>
        <v>3.6184584006145712E-3</v>
      </c>
      <c r="T40" s="9">
        <f t="shared" si="40"/>
        <v>3.6184584006145712E-3</v>
      </c>
      <c r="U40" s="407">
        <f t="shared" si="8"/>
        <v>2.2989539103918242</v>
      </c>
      <c r="V40" s="409">
        <f t="shared" si="9"/>
        <v>1.0570378164211721E-2</v>
      </c>
      <c r="W40" s="407">
        <f t="shared" si="41"/>
        <v>1.0570378164211721E-2</v>
      </c>
      <c r="X40" s="407">
        <f t="shared" si="10"/>
        <v>2.2989539103918242</v>
      </c>
      <c r="Y40" s="407">
        <f t="shared" si="11"/>
        <v>3.1711134492635157E-2</v>
      </c>
      <c r="Z40" s="407">
        <f t="shared" si="12"/>
        <v>3.450456441993463E-2</v>
      </c>
      <c r="AA40" s="407">
        <f t="shared" si="13"/>
        <v>2.8900636936256011E-2</v>
      </c>
      <c r="AB40" s="407">
        <f t="shared" si="14"/>
        <v>1.1965417989417983E-3</v>
      </c>
      <c r="AC40" s="407">
        <f t="shared" si="15"/>
        <v>9.6927614572116932E-2</v>
      </c>
      <c r="AD40" s="407">
        <f t="shared" si="16"/>
        <v>2.8183806198788544</v>
      </c>
      <c r="AE40" s="407">
        <f t="shared" si="17"/>
        <v>4.7659615911052292E-2</v>
      </c>
      <c r="AF40" s="407">
        <f t="shared" si="18"/>
        <v>4.4200509523809522E-2</v>
      </c>
      <c r="AG40" s="407">
        <f t="shared" si="19"/>
        <v>9.2744155601655762E-2</v>
      </c>
      <c r="AH40" s="407">
        <f t="shared" si="20"/>
        <v>0</v>
      </c>
      <c r="AI40">
        <f t="shared" si="21"/>
        <v>0</v>
      </c>
      <c r="AJ40" s="408">
        <f t="shared" si="22"/>
        <v>0.20291281920000001</v>
      </c>
      <c r="AK40">
        <f t="shared" si="23"/>
        <v>2.52E-2</v>
      </c>
      <c r="AL40" s="408">
        <f t="shared" si="24"/>
        <v>4.4160000000000005E-2</v>
      </c>
      <c r="AM40" s="408">
        <f t="shared" si="25"/>
        <v>4.9347355729984298E-2</v>
      </c>
      <c r="AN40" s="408">
        <f t="shared" si="42"/>
        <v>6.9360000000000005E-2</v>
      </c>
      <c r="AO40" s="408">
        <f t="shared" si="26"/>
        <v>0.7426275639169243</v>
      </c>
      <c r="AP40">
        <f t="shared" si="27"/>
        <v>15.5</v>
      </c>
      <c r="AQ40" s="10">
        <f t="shared" si="43"/>
        <v>0.95427909917933018</v>
      </c>
      <c r="AR40" s="63">
        <f t="shared" si="28"/>
        <v>4.8463807286058467</v>
      </c>
      <c r="AS40" s="63">
        <f t="shared" si="44"/>
        <v>4.6372077800827878</v>
      </c>
      <c r="AT40" s="10"/>
      <c r="AU40">
        <f t="shared" si="45"/>
        <v>95.427909917933022</v>
      </c>
      <c r="BD40">
        <v>9.9984319999999993</v>
      </c>
      <c r="BE40">
        <v>2.7269999999999999</v>
      </c>
      <c r="BF40">
        <v>5.115812</v>
      </c>
      <c r="BG40">
        <v>94.558770424517263</v>
      </c>
      <c r="BH40">
        <v>802.77694931200062</v>
      </c>
    </row>
    <row r="41" spans="1:60" x14ac:dyDescent="0.2">
      <c r="A41" s="33" t="s">
        <v>236</v>
      </c>
      <c r="B41" s="5">
        <f>QgsTop*1000000000</f>
        <v>3.3</v>
      </c>
      <c r="C41" s="417" t="s">
        <v>136</v>
      </c>
      <c r="D41" s="417" t="s">
        <v>721</v>
      </c>
      <c r="G41">
        <v>32</v>
      </c>
      <c r="H41">
        <f t="shared" si="0"/>
        <v>3.2</v>
      </c>
      <c r="I41" s="407">
        <f t="shared" si="1"/>
        <v>0.3996190476190476</v>
      </c>
      <c r="J41" s="408">
        <f t="shared" si="2"/>
        <v>6.5909391534391526</v>
      </c>
      <c r="K41" s="408">
        <f t="shared" si="31"/>
        <v>6.4954695767195769</v>
      </c>
      <c r="L41" s="408">
        <f t="shared" si="32"/>
        <v>-9.5469576719576121E-2</v>
      </c>
      <c r="M41" s="63">
        <f t="shared" si="3"/>
        <v>3.4096277399848609</v>
      </c>
      <c r="N41" s="407">
        <f t="shared" ref="N41:N72" si="46">SQRT(H41^2+(J41^2)/12)</f>
        <v>3.7229074539076898</v>
      </c>
      <c r="O41" s="407">
        <f t="shared" si="5"/>
        <v>6.9686542857897424E-2</v>
      </c>
      <c r="P41">
        <f t="shared" si="6"/>
        <v>0.2</v>
      </c>
      <c r="Q41" s="407">
        <f t="shared" si="34"/>
        <v>0.26968654285789745</v>
      </c>
      <c r="R41" s="9">
        <f t="shared" si="39"/>
        <v>1.9026402472252695</v>
      </c>
      <c r="S41" s="9">
        <f t="shared" si="7"/>
        <v>3.6200399103614345E-3</v>
      </c>
      <c r="T41" s="9">
        <f t="shared" si="40"/>
        <v>3.6200399103614345E-3</v>
      </c>
      <c r="U41" s="407">
        <f t="shared" ref="U41:U72" si="47">SQRT(I41)*SQRT(H41^2+(J41^2)/12)</f>
        <v>2.3534519219522263</v>
      </c>
      <c r="V41" s="409">
        <f t="shared" si="9"/>
        <v>1.1077471897881257E-2</v>
      </c>
      <c r="W41" s="407">
        <f t="shared" si="41"/>
        <v>1.1077471897881257E-2</v>
      </c>
      <c r="X41" s="407">
        <f t="shared" ref="X41:X72" si="48">SQRT(I41)*SQRT(H41^2+(J41^2)/12)</f>
        <v>2.3534519219522263</v>
      </c>
      <c r="Y41" s="407">
        <f t="shared" si="11"/>
        <v>3.3232415693643769E-2</v>
      </c>
      <c r="Z41" s="407">
        <f t="shared" si="12"/>
        <v>3.5048025490196068E-2</v>
      </c>
      <c r="AA41" s="407">
        <f t="shared" si="13"/>
        <v>4.7054705971277512E-2</v>
      </c>
      <c r="AB41" s="407">
        <f t="shared" si="14"/>
        <v>5.8656507936507565E-4</v>
      </c>
      <c r="AC41" s="407">
        <f t="shared" ref="AC41:AC72" si="49">(AB41+AA41+Z41+Y41*(1+RdsonTopTc*Ta-RdsonTopTc*25))/(1-Y41*RdsonTopTc*ThetaJaTop)</f>
        <v>0.11669733913135347</v>
      </c>
      <c r="AD41" s="407">
        <f t="shared" ref="AD41:AD72" si="50">SQRT(1-I41)*SQRT(H41^2+(J41^2)/12)</f>
        <v>2.8846670451580385</v>
      </c>
      <c r="AE41" s="407">
        <f t="shared" si="17"/>
        <v>4.9927823768524851E-2</v>
      </c>
      <c r="AF41" s="407">
        <f t="shared" si="18"/>
        <v>4.4896685714285713E-2</v>
      </c>
      <c r="AG41" s="407">
        <f t="shared" ref="AG41:AG72" si="51">(AF41+AE41*(1+RdsonBotTc*Ta-RdsonBotTc*25))/(1-AE41*RdsonBotTc*ThetaJaBot)</f>
        <v>9.5780936223642227E-2</v>
      </c>
      <c r="AH41" s="407">
        <f t="shared" ref="AH41:AH72" si="52">IF(RDSON_sense=1, 0, AD41^2*Rshunt)</f>
        <v>0</v>
      </c>
      <c r="AI41">
        <f t="shared" si="21"/>
        <v>0</v>
      </c>
      <c r="AJ41" s="408">
        <f t="shared" si="22"/>
        <v>0.20290314239999999</v>
      </c>
      <c r="AK41">
        <f t="shared" si="23"/>
        <v>2.52E-2</v>
      </c>
      <c r="AL41" s="408">
        <f t="shared" si="24"/>
        <v>4.4160000000000005E-2</v>
      </c>
      <c r="AM41" s="408">
        <f t="shared" si="25"/>
        <v>4.9347355729984298E-2</v>
      </c>
      <c r="AN41" s="408">
        <f t="shared" si="42"/>
        <v>6.9360000000000005E-2</v>
      </c>
      <c r="AO41" s="408">
        <f t="shared" ref="AO41:AO72" si="53">SUM(Q41,T41,W41,AC41,AJ41,AI41,AG41,AN41, AH41)</f>
        <v>0.76912547242113583</v>
      </c>
      <c r="AP41">
        <f t="shared" si="27"/>
        <v>16</v>
      </c>
      <c r="AQ41" s="10">
        <f t="shared" si="43"/>
        <v>0.95413443153693034</v>
      </c>
      <c r="AR41" s="63">
        <f t="shared" ref="AR41:AR72" si="54">ThetaJaTop*AC41</f>
        <v>5.834866956567673</v>
      </c>
      <c r="AS41" s="63">
        <f t="shared" si="44"/>
        <v>4.7890468111821116</v>
      </c>
      <c r="AT41" s="10"/>
      <c r="AU41">
        <f t="shared" si="45"/>
        <v>95.413443153693038</v>
      </c>
      <c r="BD41">
        <v>9.9985180000000007</v>
      </c>
      <c r="BE41">
        <v>3.1859999999999999</v>
      </c>
      <c r="BF41">
        <v>5.1148889999999998</v>
      </c>
      <c r="BG41">
        <v>94.58411932633652</v>
      </c>
      <c r="BH41">
        <v>933.10990806000302</v>
      </c>
    </row>
    <row r="42" spans="1:60" x14ac:dyDescent="0.2">
      <c r="A42" s="33" t="s">
        <v>168</v>
      </c>
      <c r="B42" s="5">
        <f>RGateTop</f>
        <v>1.5</v>
      </c>
      <c r="C42" s="416" t="s">
        <v>208</v>
      </c>
      <c r="D42" s="31" t="s">
        <v>181</v>
      </c>
      <c r="G42">
        <v>33</v>
      </c>
      <c r="H42">
        <f t="shared" si="0"/>
        <v>3.3000000000000003</v>
      </c>
      <c r="I42" s="407">
        <f t="shared" si="1"/>
        <v>0.39970634920634918</v>
      </c>
      <c r="J42" s="408">
        <f t="shared" si="2"/>
        <v>6.5923790233686059</v>
      </c>
      <c r="K42" s="408">
        <f t="shared" si="31"/>
        <v>6.5961895116843028</v>
      </c>
      <c r="L42" s="408">
        <f t="shared" si="32"/>
        <v>3.8104883156973024E-3</v>
      </c>
      <c r="M42" s="63">
        <f t="shared" si="3"/>
        <v>0</v>
      </c>
      <c r="N42" s="407">
        <f t="shared" si="46"/>
        <v>3.8094122598697386</v>
      </c>
      <c r="O42" s="407">
        <f t="shared" si="5"/>
        <v>7.2981742203692482E-2</v>
      </c>
      <c r="P42">
        <f t="shared" si="6"/>
        <v>0.2</v>
      </c>
      <c r="Q42" s="407">
        <f t="shared" si="34"/>
        <v>0.27298174220369248</v>
      </c>
      <c r="R42" s="9">
        <f t="shared" si="39"/>
        <v>1.9030559018709536</v>
      </c>
      <c r="S42" s="9">
        <f t="shared" si="7"/>
        <v>3.621621765645869E-3</v>
      </c>
      <c r="T42" s="9">
        <f t="shared" si="40"/>
        <v>3.621621765645869E-3</v>
      </c>
      <c r="U42" s="407">
        <f t="shared" si="47"/>
        <v>2.4083993350376312</v>
      </c>
      <c r="V42" s="409">
        <f t="shared" si="9"/>
        <v>1.1600774714019409E-2</v>
      </c>
      <c r="W42" s="407">
        <f t="shared" si="41"/>
        <v>1.1600774714019409E-2</v>
      </c>
      <c r="X42" s="407">
        <f t="shared" si="48"/>
        <v>2.4083993350376312</v>
      </c>
      <c r="Y42" s="407">
        <f t="shared" si="11"/>
        <v>3.4802324142058229E-2</v>
      </c>
      <c r="Z42" s="407">
        <f t="shared" si="12"/>
        <v>3.5608536729834203E-2</v>
      </c>
      <c r="AA42" s="407">
        <f t="shared" si="13"/>
        <v>6.4512E-2</v>
      </c>
      <c r="AB42" s="407">
        <f t="shared" si="14"/>
        <v>0</v>
      </c>
      <c r="AC42" s="407">
        <f t="shared" si="49"/>
        <v>0.13586856926957994</v>
      </c>
      <c r="AD42" s="407">
        <f t="shared" si="50"/>
        <v>2.951480036970632</v>
      </c>
      <c r="AE42" s="407">
        <f t="shared" si="17"/>
        <v>5.2267406451816975E-2</v>
      </c>
      <c r="AF42" s="407">
        <f t="shared" si="18"/>
        <v>4.5619199999999999E-2</v>
      </c>
      <c r="AG42" s="407">
        <f t="shared" si="51"/>
        <v>9.892067184417018E-2</v>
      </c>
      <c r="AH42" s="407">
        <f t="shared" si="52"/>
        <v>0</v>
      </c>
      <c r="AI42">
        <f t="shared" si="21"/>
        <v>0</v>
      </c>
      <c r="AJ42" s="408">
        <f t="shared" si="22"/>
        <v>0.20289346559999999</v>
      </c>
      <c r="AK42">
        <f t="shared" si="23"/>
        <v>2.52E-2</v>
      </c>
      <c r="AL42" s="408">
        <f t="shared" si="24"/>
        <v>4.4160000000000005E-2</v>
      </c>
      <c r="AM42" s="408">
        <f t="shared" si="25"/>
        <v>4.9347355729984298E-2</v>
      </c>
      <c r="AN42" s="408">
        <f t="shared" si="42"/>
        <v>6.9360000000000005E-2</v>
      </c>
      <c r="AO42" s="408">
        <f t="shared" si="53"/>
        <v>0.79524684539710788</v>
      </c>
      <c r="AP42">
        <f t="shared" si="27"/>
        <v>16.5</v>
      </c>
      <c r="AQ42" s="10">
        <f t="shared" si="43"/>
        <v>0.95401934112268805</v>
      </c>
      <c r="AR42" s="63">
        <f t="shared" si="54"/>
        <v>6.793428463478997</v>
      </c>
      <c r="AS42" s="63">
        <f t="shared" si="44"/>
        <v>4.9460335922085088</v>
      </c>
      <c r="AT42" s="10"/>
      <c r="AU42">
        <f t="shared" si="45"/>
        <v>95.401934112268805</v>
      </c>
      <c r="BD42">
        <v>9.9984190000000002</v>
      </c>
      <c r="BE42">
        <v>3.6920000000000002</v>
      </c>
      <c r="BF42">
        <v>5.1137540000000001</v>
      </c>
      <c r="BG42">
        <v>94.441363374789603</v>
      </c>
      <c r="BH42">
        <v>1111.2391205219994</v>
      </c>
    </row>
    <row r="43" spans="1:60" x14ac:dyDescent="0.2">
      <c r="A43" s="33" t="s">
        <v>140</v>
      </c>
      <c r="B43" s="5">
        <f>GmTop</f>
        <v>100</v>
      </c>
      <c r="C43" s="417" t="s">
        <v>137</v>
      </c>
      <c r="D43" s="31" t="s">
        <v>182</v>
      </c>
      <c r="G43">
        <v>34</v>
      </c>
      <c r="H43">
        <f t="shared" si="0"/>
        <v>3.4000000000000004</v>
      </c>
      <c r="I43" s="407">
        <f t="shared" si="1"/>
        <v>0.39979365079365087</v>
      </c>
      <c r="J43" s="408">
        <f t="shared" si="2"/>
        <v>6.5938188932980601</v>
      </c>
      <c r="K43" s="408">
        <f t="shared" si="31"/>
        <v>6.6969094466490304</v>
      </c>
      <c r="L43" s="408">
        <f t="shared" si="32"/>
        <v>0.10309055335097028</v>
      </c>
      <c r="M43" s="63">
        <f t="shared" si="3"/>
        <v>0</v>
      </c>
      <c r="N43" s="407">
        <f t="shared" si="46"/>
        <v>3.8965630966876277</v>
      </c>
      <c r="O43" s="407">
        <f t="shared" si="5"/>
        <v>7.6379896451040916E-2</v>
      </c>
      <c r="P43">
        <f t="shared" si="6"/>
        <v>0.2</v>
      </c>
      <c r="Q43" s="407">
        <f t="shared" si="34"/>
        <v>0.27637989645104094</v>
      </c>
      <c r="R43" s="9">
        <f t="shared" si="39"/>
        <v>1.9034715565166378</v>
      </c>
      <c r="S43" s="9">
        <f t="shared" si="7"/>
        <v>3.6232039664678716E-3</v>
      </c>
      <c r="T43" s="9">
        <f t="shared" si="40"/>
        <v>3.6232039664678716E-3</v>
      </c>
      <c r="U43" s="407">
        <f t="shared" si="47"/>
        <v>2.4637671449426453</v>
      </c>
      <c r="V43" s="409">
        <f t="shared" si="9"/>
        <v>1.2140297088997666E-2</v>
      </c>
      <c r="W43" s="407">
        <f t="shared" si="41"/>
        <v>1.2140297088997666E-2</v>
      </c>
      <c r="X43" s="407">
        <f t="shared" si="48"/>
        <v>2.4637671449426453</v>
      </c>
      <c r="Y43" s="407">
        <f t="shared" si="11"/>
        <v>3.6420891266993001E-2</v>
      </c>
      <c r="Z43" s="407">
        <f t="shared" si="12"/>
        <v>3.6596230083293477E-2</v>
      </c>
      <c r="AA43" s="407">
        <f t="shared" si="13"/>
        <v>6.4512E-2</v>
      </c>
      <c r="AB43" s="407">
        <f t="shared" si="14"/>
        <v>0</v>
      </c>
      <c r="AC43" s="407">
        <f t="shared" si="49"/>
        <v>0.13853825872173101</v>
      </c>
      <c r="AD43" s="407">
        <f t="shared" si="50"/>
        <v>3.0187837653546903</v>
      </c>
      <c r="AE43" s="407">
        <f t="shared" si="17"/>
        <v>5.4678332531814255E-2</v>
      </c>
      <c r="AF43" s="407">
        <f t="shared" si="18"/>
        <v>4.7001600000000004E-2</v>
      </c>
      <c r="AG43" s="407">
        <f t="shared" si="51"/>
        <v>0.1028041645912494</v>
      </c>
      <c r="AH43" s="407">
        <f t="shared" si="52"/>
        <v>0</v>
      </c>
      <c r="AI43">
        <f t="shared" si="21"/>
        <v>0</v>
      </c>
      <c r="AJ43" s="408">
        <f t="shared" si="22"/>
        <v>0.20288378879999999</v>
      </c>
      <c r="AK43">
        <f t="shared" si="23"/>
        <v>2.52E-2</v>
      </c>
      <c r="AL43" s="408">
        <f t="shared" si="24"/>
        <v>4.4160000000000005E-2</v>
      </c>
      <c r="AM43" s="408">
        <f t="shared" si="25"/>
        <v>4.9347355729984298E-2</v>
      </c>
      <c r="AN43" s="408">
        <f t="shared" si="42"/>
        <v>6.9360000000000005E-2</v>
      </c>
      <c r="AO43" s="408">
        <f t="shared" si="53"/>
        <v>0.80572960961948692</v>
      </c>
      <c r="AP43">
        <f t="shared" si="27"/>
        <v>17</v>
      </c>
      <c r="AQ43" s="10">
        <f t="shared" si="43"/>
        <v>0.95474885740238391</v>
      </c>
      <c r="AR43" s="63">
        <f t="shared" si="54"/>
        <v>6.9269129360865502</v>
      </c>
      <c r="AS43" s="63">
        <f t="shared" si="44"/>
        <v>5.1402082295624698</v>
      </c>
      <c r="AT43" s="10"/>
      <c r="AU43">
        <f t="shared" si="45"/>
        <v>95.474885740238392</v>
      </c>
      <c r="BD43">
        <v>9.998246</v>
      </c>
      <c r="BE43">
        <v>4.2430000000000003</v>
      </c>
      <c r="BF43">
        <v>5.1120590000000004</v>
      </c>
      <c r="BG43">
        <v>94.267178615859891</v>
      </c>
      <c r="BH43">
        <v>1319.0970775599953</v>
      </c>
    </row>
    <row r="44" spans="1:60" x14ac:dyDescent="0.2">
      <c r="A44" s="33" t="s">
        <v>170</v>
      </c>
      <c r="B44" s="5">
        <f>VthTop</f>
        <v>3.2</v>
      </c>
      <c r="C44" s="417" t="s">
        <v>0</v>
      </c>
      <c r="D44" s="31" t="s">
        <v>183</v>
      </c>
      <c r="G44">
        <v>35</v>
      </c>
      <c r="H44">
        <f t="shared" si="0"/>
        <v>3.5</v>
      </c>
      <c r="I44" s="407">
        <f t="shared" si="1"/>
        <v>0.39988095238095239</v>
      </c>
      <c r="J44" s="408">
        <f t="shared" si="2"/>
        <v>6.5952587632275117</v>
      </c>
      <c r="K44" s="408">
        <f t="shared" si="31"/>
        <v>6.7976293816137563</v>
      </c>
      <c r="L44" s="408">
        <f t="shared" si="32"/>
        <v>0.20237061838624415</v>
      </c>
      <c r="M44" s="63">
        <f t="shared" si="3"/>
        <v>0</v>
      </c>
      <c r="N44" s="407">
        <f t="shared" si="46"/>
        <v>3.9843175717840866</v>
      </c>
      <c r="O44" s="407">
        <f t="shared" si="5"/>
        <v>7.9881171179686059E-2</v>
      </c>
      <c r="P44">
        <f t="shared" si="6"/>
        <v>0.2</v>
      </c>
      <c r="Q44" s="407">
        <f t="shared" si="34"/>
        <v>0.27988117117968608</v>
      </c>
      <c r="R44" s="9">
        <f t="shared" si="39"/>
        <v>1.9038872111623213</v>
      </c>
      <c r="S44" s="9">
        <f t="shared" si="7"/>
        <v>3.6247865128274412E-3</v>
      </c>
      <c r="T44" s="9">
        <f t="shared" si="40"/>
        <v>3.6247865128274412E-3</v>
      </c>
      <c r="U44" s="407">
        <f t="shared" si="47"/>
        <v>2.5195286760808528</v>
      </c>
      <c r="V44" s="409">
        <f t="shared" si="9"/>
        <v>1.269604949918747E-2</v>
      </c>
      <c r="W44" s="407">
        <f t="shared" si="41"/>
        <v>1.269604949918747E-2</v>
      </c>
      <c r="X44" s="407">
        <f t="shared" si="48"/>
        <v>2.5195286760808528</v>
      </c>
      <c r="Y44" s="407">
        <f t="shared" si="11"/>
        <v>3.808814849756241E-2</v>
      </c>
      <c r="Z44" s="407">
        <f t="shared" si="12"/>
        <v>3.7583923436752736E-2</v>
      </c>
      <c r="AA44" s="407">
        <f t="shared" si="13"/>
        <v>6.4512E-2</v>
      </c>
      <c r="AB44" s="407">
        <f t="shared" si="14"/>
        <v>0</v>
      </c>
      <c r="AC44" s="407">
        <f t="shared" si="49"/>
        <v>0.14126013936731691</v>
      </c>
      <c r="AD44" s="407">
        <f t="shared" si="50"/>
        <v>3.0865452796344504</v>
      </c>
      <c r="AE44" s="407">
        <f t="shared" si="17"/>
        <v>5.7160570579402249E-2</v>
      </c>
      <c r="AF44" s="407">
        <f t="shared" si="18"/>
        <v>4.8383999999999996E-2</v>
      </c>
      <c r="AG44" s="407">
        <f t="shared" si="51"/>
        <v>0.10676512163351241</v>
      </c>
      <c r="AH44" s="407">
        <f t="shared" si="52"/>
        <v>0</v>
      </c>
      <c r="AI44">
        <f t="shared" si="21"/>
        <v>0</v>
      </c>
      <c r="AJ44" s="408">
        <f t="shared" si="22"/>
        <v>0.20287411199999997</v>
      </c>
      <c r="AK44">
        <f t="shared" si="23"/>
        <v>2.52E-2</v>
      </c>
      <c r="AL44" s="408">
        <f t="shared" si="24"/>
        <v>4.4160000000000005E-2</v>
      </c>
      <c r="AM44" s="408">
        <f t="shared" si="25"/>
        <v>4.9347355729984298E-2</v>
      </c>
      <c r="AN44" s="408">
        <f t="shared" si="42"/>
        <v>6.9360000000000005E-2</v>
      </c>
      <c r="AO44" s="408">
        <f t="shared" si="53"/>
        <v>0.81646138019253023</v>
      </c>
      <c r="AP44">
        <f t="shared" si="27"/>
        <v>17.5</v>
      </c>
      <c r="AQ44" s="10">
        <f t="shared" si="43"/>
        <v>0.9554247207882931</v>
      </c>
      <c r="AR44" s="63">
        <f t="shared" si="54"/>
        <v>7.063006968365845</v>
      </c>
      <c r="AS44" s="63">
        <f t="shared" si="44"/>
        <v>5.3382560816756204</v>
      </c>
      <c r="AT44" s="10"/>
      <c r="AU44">
        <f t="shared" si="45"/>
        <v>95.542472078829306</v>
      </c>
      <c r="BD44">
        <v>9.9981469999999995</v>
      </c>
      <c r="BE44">
        <v>4.8490000000000002</v>
      </c>
      <c r="BF44">
        <v>5.1107740000000002</v>
      </c>
      <c r="BG44">
        <v>93.953815994681278</v>
      </c>
      <c r="BH44">
        <v>1594.7983209009985</v>
      </c>
    </row>
    <row r="45" spans="1:60" x14ac:dyDescent="0.2">
      <c r="A45" s="38" t="s">
        <v>235</v>
      </c>
      <c r="B45" s="5">
        <f>VspTop</f>
        <v>3.4000000000000004</v>
      </c>
      <c r="C45" s="418" t="s">
        <v>0</v>
      </c>
      <c r="G45">
        <v>36</v>
      </c>
      <c r="H45">
        <f t="shared" si="0"/>
        <v>3.5999999999999996</v>
      </c>
      <c r="I45" s="407">
        <f t="shared" si="1"/>
        <v>0.39996825396825397</v>
      </c>
      <c r="J45" s="408">
        <f t="shared" si="2"/>
        <v>6.596698633156965</v>
      </c>
      <c r="K45" s="408">
        <f t="shared" si="31"/>
        <v>6.8983493165784822</v>
      </c>
      <c r="L45" s="408">
        <f t="shared" si="32"/>
        <v>0.30165068342151713</v>
      </c>
      <c r="M45" s="63">
        <f t="shared" si="3"/>
        <v>0</v>
      </c>
      <c r="N45" s="407">
        <f t="shared" si="46"/>
        <v>4.0726366649536239</v>
      </c>
      <c r="O45" s="407">
        <f t="shared" si="5"/>
        <v>8.3485737134075477E-2</v>
      </c>
      <c r="P45">
        <f t="shared" si="6"/>
        <v>0.2</v>
      </c>
      <c r="Q45" s="407">
        <f t="shared" si="34"/>
        <v>0.28348573713407549</v>
      </c>
      <c r="R45" s="9">
        <f t="shared" si="39"/>
        <v>1.9043028658080052</v>
      </c>
      <c r="S45" s="9">
        <f t="shared" si="7"/>
        <v>3.6263694047245815E-3</v>
      </c>
      <c r="T45" s="9">
        <f t="shared" si="40"/>
        <v>3.6263694047245815E-3</v>
      </c>
      <c r="U45" s="407">
        <f t="shared" si="47"/>
        <v>2.5756593739235312</v>
      </c>
      <c r="V45" s="409">
        <f t="shared" si="9"/>
        <v>1.3268042420960314E-2</v>
      </c>
      <c r="W45" s="407">
        <f t="shared" si="41"/>
        <v>1.3268042420960314E-2</v>
      </c>
      <c r="X45" s="407">
        <f t="shared" si="48"/>
        <v>2.5756593739235312</v>
      </c>
      <c r="Y45" s="407">
        <f t="shared" si="11"/>
        <v>3.9804127262880941E-2</v>
      </c>
      <c r="Z45" s="407">
        <f t="shared" si="12"/>
        <v>3.8571616790212003E-2</v>
      </c>
      <c r="AA45" s="407">
        <f t="shared" si="13"/>
        <v>6.4512E-2</v>
      </c>
      <c r="AB45" s="407">
        <f t="shared" si="14"/>
        <v>0</v>
      </c>
      <c r="AC45" s="407">
        <f t="shared" si="49"/>
        <v>0.14403437658425078</v>
      </c>
      <c r="AD45" s="407">
        <f t="shared" si="50"/>
        <v>3.1547342509701859</v>
      </c>
      <c r="AE45" s="407">
        <f t="shared" si="17"/>
        <v>5.971408916546652E-2</v>
      </c>
      <c r="AF45" s="407">
        <f t="shared" si="18"/>
        <v>4.9766399999999995E-2</v>
      </c>
      <c r="AG45" s="407">
        <f t="shared" si="51"/>
        <v>0.11080379874914224</v>
      </c>
      <c r="AH45" s="407">
        <f t="shared" si="52"/>
        <v>0</v>
      </c>
      <c r="AI45">
        <f t="shared" si="21"/>
        <v>0</v>
      </c>
      <c r="AJ45" s="408">
        <f t="shared" si="22"/>
        <v>0.2028644352</v>
      </c>
      <c r="AK45">
        <f t="shared" si="23"/>
        <v>2.52E-2</v>
      </c>
      <c r="AL45" s="408">
        <f t="shared" si="24"/>
        <v>4.4160000000000005E-2</v>
      </c>
      <c r="AM45" s="408">
        <f t="shared" si="25"/>
        <v>4.9347355729984298E-2</v>
      </c>
      <c r="AN45" s="408">
        <f t="shared" si="42"/>
        <v>6.9360000000000005E-2</v>
      </c>
      <c r="AO45" s="408">
        <f t="shared" si="53"/>
        <v>0.82744275949315338</v>
      </c>
      <c r="AP45">
        <f t="shared" si="27"/>
        <v>18</v>
      </c>
      <c r="AQ45" s="10">
        <f t="shared" si="43"/>
        <v>0.95605124019957832</v>
      </c>
      <c r="AR45" s="63">
        <f t="shared" si="54"/>
        <v>7.2017188292125391</v>
      </c>
      <c r="AS45" s="63">
        <f t="shared" si="44"/>
        <v>5.5401899374571117</v>
      </c>
      <c r="AT45" s="10"/>
      <c r="AU45">
        <f t="shared" si="45"/>
        <v>95.605124019957827</v>
      </c>
      <c r="BD45">
        <v>9.9979859999999992</v>
      </c>
      <c r="BE45">
        <v>5.4960000000000004</v>
      </c>
      <c r="BF45">
        <v>5.1097890000000001</v>
      </c>
      <c r="BG45">
        <v>93.599771362833366</v>
      </c>
      <c r="BH45">
        <v>1920.3056923499939</v>
      </c>
    </row>
    <row r="46" spans="1:60" x14ac:dyDescent="0.2">
      <c r="A46" s="118" t="s">
        <v>378</v>
      </c>
      <c r="B46" s="5">
        <f>VsdTop</f>
        <v>0.8</v>
      </c>
      <c r="C46" s="418" t="s">
        <v>0</v>
      </c>
      <c r="G46">
        <v>37</v>
      </c>
      <c r="H46">
        <f t="shared" si="0"/>
        <v>3.7</v>
      </c>
      <c r="I46" s="407">
        <f t="shared" si="1"/>
        <v>0.40005555555555561</v>
      </c>
      <c r="J46" s="408">
        <f t="shared" si="2"/>
        <v>6.5981385030864192</v>
      </c>
      <c r="K46" s="408">
        <f t="shared" si="31"/>
        <v>6.9990692515432098</v>
      </c>
      <c r="L46" s="408">
        <f t="shared" si="32"/>
        <v>0.40093074845679055</v>
      </c>
      <c r="M46" s="63">
        <f t="shared" si="3"/>
        <v>0</v>
      </c>
      <c r="N46" s="407">
        <f t="shared" si="46"/>
        <v>4.1614844277203886</v>
      </c>
      <c r="O46" s="407">
        <f t="shared" si="5"/>
        <v>8.7193770244309368E-2</v>
      </c>
      <c r="P46">
        <f t="shared" si="6"/>
        <v>0.2</v>
      </c>
      <c r="Q46" s="407">
        <f t="shared" si="34"/>
        <v>0.28719377024430937</v>
      </c>
      <c r="R46" s="9">
        <f t="shared" si="39"/>
        <v>1.9047185204536894</v>
      </c>
      <c r="S46" s="9">
        <f t="shared" si="7"/>
        <v>3.6279526421592917E-3</v>
      </c>
      <c r="T46" s="9">
        <f t="shared" si="40"/>
        <v>3.6279526421592917E-3</v>
      </c>
      <c r="U46" s="407">
        <f t="shared" si="47"/>
        <v>2.6321366160106194</v>
      </c>
      <c r="V46" s="409">
        <f t="shared" si="9"/>
        <v>1.3856286330687671E-2</v>
      </c>
      <c r="W46" s="407">
        <f t="shared" si="41"/>
        <v>1.3856286330687671E-2</v>
      </c>
      <c r="X46" s="407">
        <f t="shared" si="48"/>
        <v>2.6321366160106194</v>
      </c>
      <c r="Y46" s="407">
        <f t="shared" si="11"/>
        <v>4.1568858992063008E-2</v>
      </c>
      <c r="Z46" s="407">
        <f t="shared" si="12"/>
        <v>3.9559310143671284E-2</v>
      </c>
      <c r="AA46" s="407">
        <f t="shared" si="13"/>
        <v>6.4512E-2</v>
      </c>
      <c r="AB46" s="407">
        <f t="shared" si="14"/>
        <v>0</v>
      </c>
      <c r="AC46" s="407">
        <f t="shared" si="49"/>
        <v>0.14686113913253715</v>
      </c>
      <c r="AD46" s="407">
        <f t="shared" si="50"/>
        <v>3.2233227385441023</v>
      </c>
      <c r="AE46" s="407">
        <f t="shared" si="17"/>
        <v>6.2338856860892702E-2</v>
      </c>
      <c r="AF46" s="407">
        <f t="shared" si="18"/>
        <v>5.1148800000000001E-2</v>
      </c>
      <c r="AG46" s="407">
        <f t="shared" si="51"/>
        <v>0.11492045886804535</v>
      </c>
      <c r="AH46" s="407">
        <f t="shared" si="52"/>
        <v>0</v>
      </c>
      <c r="AI46">
        <f t="shared" si="21"/>
        <v>0</v>
      </c>
      <c r="AJ46" s="408">
        <f t="shared" si="22"/>
        <v>0.2028547584</v>
      </c>
      <c r="AK46">
        <f t="shared" si="23"/>
        <v>2.52E-2</v>
      </c>
      <c r="AL46" s="408">
        <f t="shared" si="24"/>
        <v>4.4160000000000005E-2</v>
      </c>
      <c r="AM46" s="408">
        <f t="shared" si="25"/>
        <v>4.9347355729984298E-2</v>
      </c>
      <c r="AN46" s="408">
        <f t="shared" si="42"/>
        <v>6.9360000000000005E-2</v>
      </c>
      <c r="AO46" s="408">
        <f t="shared" si="53"/>
        <v>0.83867436561773889</v>
      </c>
      <c r="AP46">
        <f t="shared" si="27"/>
        <v>18.5</v>
      </c>
      <c r="AQ46" s="10">
        <f t="shared" si="43"/>
        <v>0.95663227221464475</v>
      </c>
      <c r="AR46" s="63">
        <f t="shared" si="54"/>
        <v>7.3430569566268575</v>
      </c>
      <c r="AS46" s="63">
        <f t="shared" si="44"/>
        <v>5.7460229434022674</v>
      </c>
      <c r="AT46" s="10"/>
      <c r="AU46">
        <f t="shared" si="45"/>
        <v>95.663227221464481</v>
      </c>
      <c r="BD46">
        <v>9.9978999999999996</v>
      </c>
      <c r="BE46">
        <v>6.1950000000000003</v>
      </c>
      <c r="BF46">
        <v>5.109191</v>
      </c>
      <c r="BG46">
        <v>93.156651672159526</v>
      </c>
      <c r="BH46">
        <v>2325.1351758999972</v>
      </c>
    </row>
    <row r="47" spans="1:60" x14ac:dyDescent="0.2">
      <c r="A47" s="33" t="s">
        <v>161</v>
      </c>
      <c r="B47" s="5">
        <f>ThetaJaTop</f>
        <v>50</v>
      </c>
      <c r="C47" s="417" t="s">
        <v>381</v>
      </c>
      <c r="D47" s="31" t="s">
        <v>184</v>
      </c>
      <c r="G47">
        <v>38</v>
      </c>
      <c r="H47">
        <f t="shared" si="0"/>
        <v>3.8</v>
      </c>
      <c r="I47" s="407">
        <f t="shared" si="1"/>
        <v>0.40014285714285719</v>
      </c>
      <c r="J47" s="408">
        <f t="shared" si="2"/>
        <v>6.5995783730158726</v>
      </c>
      <c r="K47" s="408">
        <f t="shared" si="31"/>
        <v>7.0997891865079357</v>
      </c>
      <c r="L47" s="408">
        <f t="shared" si="32"/>
        <v>0.50021081349206353</v>
      </c>
      <c r="M47" s="63">
        <f t="shared" si="3"/>
        <v>0</v>
      </c>
      <c r="N47" s="407">
        <f t="shared" si="46"/>
        <v>4.2508277105913814</v>
      </c>
      <c r="O47" s="407">
        <f t="shared" si="5"/>
        <v>9.1005451647751215E-2</v>
      </c>
      <c r="P47">
        <f t="shared" si="6"/>
        <v>0.2</v>
      </c>
      <c r="Q47" s="407">
        <f t="shared" si="34"/>
        <v>0.29100545164775121</v>
      </c>
      <c r="R47" s="9">
        <f t="shared" si="39"/>
        <v>1.9051341750993733</v>
      </c>
      <c r="S47" s="9">
        <f t="shared" si="7"/>
        <v>3.6295362251315697E-3</v>
      </c>
      <c r="T47" s="9">
        <f t="shared" si="40"/>
        <v>3.6295362251315697E-3</v>
      </c>
      <c r="U47" s="407">
        <f t="shared" si="47"/>
        <v>2.6889395404825489</v>
      </c>
      <c r="V47" s="409">
        <f t="shared" si="9"/>
        <v>1.4460791704741002E-2</v>
      </c>
      <c r="W47" s="407">
        <f t="shared" si="41"/>
        <v>1.4460791704741002E-2</v>
      </c>
      <c r="X47" s="407">
        <f t="shared" si="48"/>
        <v>2.6889395404825489</v>
      </c>
      <c r="Y47" s="407">
        <f t="shared" si="11"/>
        <v>4.3382375114223007E-2</v>
      </c>
      <c r="Z47" s="407">
        <f t="shared" si="12"/>
        <v>4.0547003497130543E-2</v>
      </c>
      <c r="AA47" s="407">
        <f t="shared" si="13"/>
        <v>6.4512E-2</v>
      </c>
      <c r="AB47" s="407">
        <f t="shared" si="14"/>
        <v>0</v>
      </c>
      <c r="AC47" s="407">
        <f t="shared" si="49"/>
        <v>0.14974059918004498</v>
      </c>
      <c r="AD47" s="407">
        <f t="shared" si="50"/>
        <v>3.2922849774527516</v>
      </c>
      <c r="AE47" s="407">
        <f t="shared" si="17"/>
        <v>6.5034842236566387E-2</v>
      </c>
      <c r="AF47" s="407">
        <f t="shared" si="18"/>
        <v>5.2531199999999993E-2</v>
      </c>
      <c r="AG47" s="407">
        <f t="shared" si="51"/>
        <v>0.11911537212336498</v>
      </c>
      <c r="AH47" s="407">
        <f t="shared" si="52"/>
        <v>0</v>
      </c>
      <c r="AI47">
        <f t="shared" si="21"/>
        <v>0</v>
      </c>
      <c r="AJ47" s="408">
        <f t="shared" si="22"/>
        <v>0.2028450816</v>
      </c>
      <c r="AK47">
        <f t="shared" si="23"/>
        <v>2.52E-2</v>
      </c>
      <c r="AL47" s="408">
        <f t="shared" si="24"/>
        <v>4.4160000000000005E-2</v>
      </c>
      <c r="AM47" s="408">
        <f t="shared" si="25"/>
        <v>4.9347355729984298E-2</v>
      </c>
      <c r="AN47" s="408">
        <f t="shared" si="42"/>
        <v>6.9360000000000005E-2</v>
      </c>
      <c r="AO47" s="408">
        <f t="shared" si="53"/>
        <v>0.8501568324810338</v>
      </c>
      <c r="AP47">
        <f t="shared" si="27"/>
        <v>19</v>
      </c>
      <c r="AQ47" s="10">
        <f t="shared" si="43"/>
        <v>0.95717127881378183</v>
      </c>
      <c r="AR47" s="63">
        <f t="shared" si="54"/>
        <v>7.4870299590022489</v>
      </c>
      <c r="AS47" s="63">
        <f t="shared" si="44"/>
        <v>5.9557686061682489</v>
      </c>
      <c r="AT47" s="10"/>
      <c r="AU47">
        <f t="shared" si="45"/>
        <v>95.71712788137819</v>
      </c>
      <c r="BD47">
        <v>9.9976269999999996</v>
      </c>
      <c r="BE47">
        <v>6.9470000000000001</v>
      </c>
      <c r="BF47">
        <v>5.1086669999999996</v>
      </c>
      <c r="BG47">
        <v>92.656807634751772</v>
      </c>
      <c r="BH47">
        <v>2812.6290012010018</v>
      </c>
    </row>
    <row r="48" spans="1:60" x14ac:dyDescent="0.2">
      <c r="A48" s="34" t="s">
        <v>130</v>
      </c>
      <c r="B48" s="25" t="s">
        <v>201</v>
      </c>
      <c r="C48" s="34" t="s">
        <v>148</v>
      </c>
      <c r="D48" s="27" t="s">
        <v>188</v>
      </c>
      <c r="G48">
        <v>39</v>
      </c>
      <c r="H48">
        <f t="shared" si="0"/>
        <v>3.9000000000000004</v>
      </c>
      <c r="I48" s="407">
        <f t="shared" si="1"/>
        <v>0.40023015873015871</v>
      </c>
      <c r="J48" s="408">
        <f t="shared" si="2"/>
        <v>6.601018242945325</v>
      </c>
      <c r="K48" s="408">
        <f t="shared" si="31"/>
        <v>7.2005091214726633</v>
      </c>
      <c r="L48" s="408">
        <f t="shared" si="32"/>
        <v>0.59949087852733784</v>
      </c>
      <c r="M48" s="63">
        <f t="shared" si="3"/>
        <v>0</v>
      </c>
      <c r="N48" s="407">
        <f t="shared" si="46"/>
        <v>4.3406359158125003</v>
      </c>
      <c r="O48" s="407">
        <f t="shared" si="5"/>
        <v>9.4920967711306578E-2</v>
      </c>
      <c r="P48">
        <f t="shared" si="6"/>
        <v>0.2</v>
      </c>
      <c r="Q48" s="407">
        <f t="shared" si="34"/>
        <v>0.2949209677113066</v>
      </c>
      <c r="R48" s="9">
        <f t="shared" si="39"/>
        <v>1.905549829745057</v>
      </c>
      <c r="S48" s="9">
        <f t="shared" si="7"/>
        <v>3.6311201536414158E-3</v>
      </c>
      <c r="T48" s="9">
        <f t="shared" si="40"/>
        <v>3.6311201536414158E-3</v>
      </c>
      <c r="U48" s="407">
        <f t="shared" si="47"/>
        <v>2.7460488906328484</v>
      </c>
      <c r="V48" s="409">
        <f t="shared" si="9"/>
        <v>1.5081569019491795E-2</v>
      </c>
      <c r="W48" s="407">
        <f t="shared" si="41"/>
        <v>1.5081569019491795E-2</v>
      </c>
      <c r="X48" s="407">
        <f t="shared" si="48"/>
        <v>2.7460488906328484</v>
      </c>
      <c r="Y48" s="407">
        <f t="shared" si="11"/>
        <v>4.5244707058475386E-2</v>
      </c>
      <c r="Z48" s="407">
        <f t="shared" si="12"/>
        <v>4.1534696850589817E-2</v>
      </c>
      <c r="AA48" s="407">
        <f t="shared" si="13"/>
        <v>6.4512E-2</v>
      </c>
      <c r="AB48" s="407">
        <f t="shared" si="14"/>
        <v>0</v>
      </c>
      <c r="AC48" s="407">
        <f t="shared" si="49"/>
        <v>0.15267293232886076</v>
      </c>
      <c r="AD48" s="407">
        <f t="shared" si="50"/>
        <v>3.3615971864421121</v>
      </c>
      <c r="AE48" s="407">
        <f t="shared" si="17"/>
        <v>6.7802013863373145E-2</v>
      </c>
      <c r="AF48" s="407">
        <f t="shared" si="18"/>
        <v>5.3913600000000006E-2</v>
      </c>
      <c r="AG48" s="407">
        <f t="shared" si="51"/>
        <v>0.12338881590468408</v>
      </c>
      <c r="AH48" s="407">
        <f t="shared" si="52"/>
        <v>0</v>
      </c>
      <c r="AI48">
        <f t="shared" si="21"/>
        <v>0</v>
      </c>
      <c r="AJ48" s="408">
        <f t="shared" si="22"/>
        <v>0.20283540479999998</v>
      </c>
      <c r="AK48">
        <f t="shared" si="23"/>
        <v>2.52E-2</v>
      </c>
      <c r="AL48" s="408">
        <f t="shared" si="24"/>
        <v>4.4160000000000005E-2</v>
      </c>
      <c r="AM48" s="408">
        <f t="shared" si="25"/>
        <v>4.9347355729984298E-2</v>
      </c>
      <c r="AN48" s="408">
        <f t="shared" si="42"/>
        <v>6.9360000000000005E-2</v>
      </c>
      <c r="AO48" s="408">
        <f t="shared" si="53"/>
        <v>0.86189080991798461</v>
      </c>
      <c r="AP48">
        <f t="shared" si="27"/>
        <v>19.5</v>
      </c>
      <c r="AQ48" s="10">
        <f t="shared" si="43"/>
        <v>0.95767137649622547</v>
      </c>
      <c r="AR48" s="63">
        <f t="shared" si="54"/>
        <v>7.6336466164430377</v>
      </c>
      <c r="AS48" s="63">
        <f t="shared" si="44"/>
        <v>6.1694407952342036</v>
      </c>
      <c r="AT48" s="10"/>
      <c r="AU48">
        <f t="shared" si="45"/>
        <v>95.767137649622541</v>
      </c>
      <c r="BD48">
        <v>9.9975280000000009</v>
      </c>
      <c r="BE48">
        <v>7.7530000000000001</v>
      </c>
      <c r="BF48">
        <v>5.10853</v>
      </c>
      <c r="BG48">
        <v>92.034336419785248</v>
      </c>
      <c r="BH48">
        <v>3427.976173640001</v>
      </c>
    </row>
    <row r="49" spans="1:60" x14ac:dyDescent="0.2">
      <c r="A49" s="33" t="s">
        <v>139</v>
      </c>
      <c r="B49" s="5">
        <f>RdsonBot*1000</f>
        <v>6</v>
      </c>
      <c r="C49" s="417" t="s">
        <v>621</v>
      </c>
      <c r="D49" s="31" t="s">
        <v>192</v>
      </c>
      <c r="G49">
        <v>40</v>
      </c>
      <c r="H49">
        <f t="shared" si="0"/>
        <v>4</v>
      </c>
      <c r="I49" s="407">
        <f t="shared" si="1"/>
        <v>0.40031746031746029</v>
      </c>
      <c r="J49" s="408">
        <f t="shared" si="2"/>
        <v>6.6024581128747784</v>
      </c>
      <c r="K49" s="408">
        <f t="shared" si="31"/>
        <v>7.3012290564373892</v>
      </c>
      <c r="L49" s="408">
        <f t="shared" si="32"/>
        <v>0.69877094356261082</v>
      </c>
      <c r="M49" s="63">
        <f t="shared" si="3"/>
        <v>0</v>
      </c>
      <c r="N49" s="407">
        <f t="shared" si="46"/>
        <v>4.4308807733552067</v>
      </c>
      <c r="O49" s="407">
        <f t="shared" si="5"/>
        <v>9.8940510054373099E-2</v>
      </c>
      <c r="P49">
        <f t="shared" si="6"/>
        <v>0.2</v>
      </c>
      <c r="Q49" s="407">
        <f t="shared" si="34"/>
        <v>0.29894051005437311</v>
      </c>
      <c r="R49" s="9">
        <f t="shared" si="39"/>
        <v>1.905965484390741</v>
      </c>
      <c r="S49" s="9">
        <f t="shared" si="7"/>
        <v>3.6327044276888319E-3</v>
      </c>
      <c r="T49" s="9">
        <f t="shared" si="40"/>
        <v>3.6327044276888319E-3</v>
      </c>
      <c r="U49" s="407">
        <f t="shared" si="47"/>
        <v>2.8034468740562488</v>
      </c>
      <c r="V49" s="409">
        <f t="shared" si="9"/>
        <v>1.5718628751311508E-2</v>
      </c>
      <c r="W49" s="407">
        <f t="shared" si="41"/>
        <v>1.5718628751311508E-2</v>
      </c>
      <c r="X49" s="407">
        <f t="shared" si="48"/>
        <v>2.8034468740562488</v>
      </c>
      <c r="Y49" s="407">
        <f t="shared" si="11"/>
        <v>4.715588625393452E-2</v>
      </c>
      <c r="Z49" s="407">
        <f t="shared" si="12"/>
        <v>4.252239020404909E-2</v>
      </c>
      <c r="AA49" s="407">
        <f t="shared" si="13"/>
        <v>6.4512E-2</v>
      </c>
      <c r="AB49" s="407">
        <f t="shared" si="14"/>
        <v>0</v>
      </c>
      <c r="AC49" s="407">
        <f t="shared" si="49"/>
        <v>0.15565831764222673</v>
      </c>
      <c r="AD49" s="407">
        <f t="shared" si="50"/>
        <v>3.4312373937157252</v>
      </c>
      <c r="AE49" s="407">
        <f t="shared" si="17"/>
        <v>7.0640340312198499E-2</v>
      </c>
      <c r="AF49" s="407">
        <f t="shared" si="18"/>
        <v>5.5295999999999998E-2</v>
      </c>
      <c r="AG49" s="407">
        <f t="shared" si="51"/>
        <v>0.12774107491293768</v>
      </c>
      <c r="AH49" s="407">
        <f t="shared" si="52"/>
        <v>0</v>
      </c>
      <c r="AI49">
        <f t="shared" si="21"/>
        <v>0</v>
      </c>
      <c r="AJ49" s="408">
        <f t="shared" si="22"/>
        <v>0.20282572800000001</v>
      </c>
      <c r="AK49">
        <f t="shared" si="23"/>
        <v>2.52E-2</v>
      </c>
      <c r="AL49" s="408">
        <f t="shared" si="24"/>
        <v>4.4160000000000005E-2</v>
      </c>
      <c r="AM49" s="408">
        <f t="shared" si="25"/>
        <v>4.9347355729984298E-2</v>
      </c>
      <c r="AN49" s="408">
        <f t="shared" si="42"/>
        <v>6.9360000000000005E-2</v>
      </c>
      <c r="AO49" s="408">
        <f t="shared" si="53"/>
        <v>0.87387696378853785</v>
      </c>
      <c r="AP49">
        <f t="shared" si="27"/>
        <v>20</v>
      </c>
      <c r="AQ49" s="10">
        <f t="shared" si="43"/>
        <v>0.95813537823833517</v>
      </c>
      <c r="AR49" s="63">
        <f t="shared" si="54"/>
        <v>7.7829158821113369</v>
      </c>
      <c r="AS49" s="63">
        <f t="shared" si="44"/>
        <v>6.3870537456468837</v>
      </c>
      <c r="AT49" s="10"/>
      <c r="AU49">
        <f t="shared" si="45"/>
        <v>95.813537823833514</v>
      </c>
      <c r="BD49">
        <v>9.9970090000000003</v>
      </c>
      <c r="BE49">
        <v>8.6120000000000001</v>
      </c>
      <c r="BF49">
        <v>5.1085419999999999</v>
      </c>
      <c r="BG49">
        <v>91.346378256658895</v>
      </c>
      <c r="BH49">
        <v>4167.8065612820019</v>
      </c>
    </row>
    <row r="50" spans="1:60" x14ac:dyDescent="0.2">
      <c r="A50" s="33" t="s">
        <v>153</v>
      </c>
      <c r="B50" s="5">
        <v>4500</v>
      </c>
      <c r="C50" s="417" t="s">
        <v>622</v>
      </c>
      <c r="D50" s="31" t="s">
        <v>185</v>
      </c>
      <c r="G50">
        <v>41</v>
      </c>
      <c r="H50">
        <f t="shared" si="0"/>
        <v>4.0999999999999996</v>
      </c>
      <c r="I50" s="407">
        <f t="shared" si="1"/>
        <v>0.40040476190476199</v>
      </c>
      <c r="J50" s="408">
        <f t="shared" si="2"/>
        <v>6.6038979828042335</v>
      </c>
      <c r="K50" s="408">
        <f t="shared" si="31"/>
        <v>7.4019489914021168</v>
      </c>
      <c r="L50" s="408">
        <f t="shared" si="32"/>
        <v>0.79805100859788292</v>
      </c>
      <c r="M50" s="63">
        <f t="shared" si="3"/>
        <v>0</v>
      </c>
      <c r="N50" s="407">
        <f t="shared" si="46"/>
        <v>4.5215361380037447</v>
      </c>
      <c r="O50" s="407">
        <f t="shared" si="5"/>
        <v>0.10306427557246968</v>
      </c>
      <c r="P50">
        <f t="shared" si="6"/>
        <v>0.2</v>
      </c>
      <c r="Q50" s="407">
        <f t="shared" si="34"/>
        <v>0.30306427557246968</v>
      </c>
      <c r="R50" s="9">
        <f t="shared" si="39"/>
        <v>1.9063811390364256</v>
      </c>
      <c r="S50" s="9">
        <f t="shared" si="7"/>
        <v>3.6342890472738196E-3</v>
      </c>
      <c r="T50" s="9">
        <f t="shared" si="40"/>
        <v>3.6342890472738196E-3</v>
      </c>
      <c r="U50" s="407">
        <f t="shared" si="47"/>
        <v>2.8611170350556803</v>
      </c>
      <c r="V50" s="409">
        <f t="shared" si="9"/>
        <v>1.6371981376571615E-2</v>
      </c>
      <c r="W50" s="407">
        <f t="shared" si="41"/>
        <v>1.6371981376571615E-2</v>
      </c>
      <c r="X50" s="407">
        <f t="shared" si="48"/>
        <v>2.8611170350556803</v>
      </c>
      <c r="Y50" s="407">
        <f t="shared" si="11"/>
        <v>4.9115944129714845E-2</v>
      </c>
      <c r="Z50" s="407">
        <f t="shared" si="12"/>
        <v>4.3510083557508357E-2</v>
      </c>
      <c r="AA50" s="407">
        <f t="shared" si="13"/>
        <v>6.4512E-2</v>
      </c>
      <c r="AB50" s="407">
        <f t="shared" si="14"/>
        <v>0</v>
      </c>
      <c r="AC50" s="407">
        <f t="shared" si="49"/>
        <v>0.15869693767207491</v>
      </c>
      <c r="AD50" s="407">
        <f t="shared" si="50"/>
        <v>3.5011852791573328</v>
      </c>
      <c r="AE50" s="407">
        <f t="shared" si="17"/>
        <v>7.3549790153928069E-2</v>
      </c>
      <c r="AF50" s="407">
        <f t="shared" si="18"/>
        <v>5.667839999999999E-2</v>
      </c>
      <c r="AG50" s="407">
        <f t="shared" si="51"/>
        <v>0.13217244121705746</v>
      </c>
      <c r="AH50" s="407">
        <f t="shared" si="52"/>
        <v>0</v>
      </c>
      <c r="AI50">
        <f t="shared" si="21"/>
        <v>0</v>
      </c>
      <c r="AJ50" s="408">
        <f t="shared" si="22"/>
        <v>0.20281605120000001</v>
      </c>
      <c r="AK50">
        <f t="shared" si="23"/>
        <v>2.52E-2</v>
      </c>
      <c r="AL50" s="408">
        <f t="shared" si="24"/>
        <v>4.4160000000000005E-2</v>
      </c>
      <c r="AM50" s="408">
        <f t="shared" si="25"/>
        <v>4.9347355729984298E-2</v>
      </c>
      <c r="AN50" s="408">
        <f t="shared" si="42"/>
        <v>6.9360000000000005E-2</v>
      </c>
      <c r="AO50" s="408">
        <f t="shared" si="53"/>
        <v>0.88611597608544745</v>
      </c>
      <c r="AP50">
        <f t="shared" si="27"/>
        <v>20.5</v>
      </c>
      <c r="AQ50" s="10">
        <f t="shared" si="43"/>
        <v>0.9585658294813173</v>
      </c>
      <c r="AR50" s="63">
        <f t="shared" si="54"/>
        <v>7.9348468836037451</v>
      </c>
      <c r="AS50" s="63">
        <f t="shared" si="44"/>
        <v>6.6086220608528725</v>
      </c>
      <c r="AT50" s="10"/>
      <c r="AU50">
        <f t="shared" si="45"/>
        <v>95.856582948131731</v>
      </c>
      <c r="BD50">
        <v>9.9969590000000004</v>
      </c>
      <c r="BE50">
        <v>9.5229999999999997</v>
      </c>
      <c r="BF50">
        <v>5.1087540000000002</v>
      </c>
      <c r="BG50">
        <v>90.547826191651922</v>
      </c>
      <c r="BH50">
        <v>5078.5816240809982</v>
      </c>
    </row>
    <row r="51" spans="1:60" x14ac:dyDescent="0.2">
      <c r="A51" s="33" t="s">
        <v>138</v>
      </c>
      <c r="B51" s="5">
        <f>QgBot*1000000000</f>
        <v>11.5</v>
      </c>
      <c r="C51" s="417" t="s">
        <v>136</v>
      </c>
      <c r="D51" s="31" t="s">
        <v>180</v>
      </c>
      <c r="G51">
        <v>42</v>
      </c>
      <c r="H51">
        <f t="shared" si="0"/>
        <v>4.2</v>
      </c>
      <c r="I51" s="407">
        <f t="shared" si="1"/>
        <v>0.40049206349206351</v>
      </c>
      <c r="J51" s="408">
        <f t="shared" si="2"/>
        <v>6.605337852733685</v>
      </c>
      <c r="K51" s="408">
        <f t="shared" si="31"/>
        <v>7.5026689263668427</v>
      </c>
      <c r="L51" s="408">
        <f t="shared" si="32"/>
        <v>0.89733107363315767</v>
      </c>
      <c r="M51" s="63">
        <f t="shared" si="3"/>
        <v>0</v>
      </c>
      <c r="N51" s="407">
        <f t="shared" si="46"/>
        <v>4.6125778055656008</v>
      </c>
      <c r="O51" s="407">
        <f t="shared" si="5"/>
        <v>0.10729246646154793</v>
      </c>
      <c r="P51">
        <f t="shared" si="6"/>
        <v>0.2</v>
      </c>
      <c r="Q51" s="407">
        <f t="shared" si="34"/>
        <v>0.30729246646154795</v>
      </c>
      <c r="R51" s="9">
        <f t="shared" si="39"/>
        <v>1.9067967936821089</v>
      </c>
      <c r="S51" s="9">
        <f t="shared" si="7"/>
        <v>3.6358740123963711E-3</v>
      </c>
      <c r="T51" s="9">
        <f t="shared" si="40"/>
        <v>3.6358740123963711E-3</v>
      </c>
      <c r="U51" s="407">
        <f t="shared" si="47"/>
        <v>2.9190441390670667</v>
      </c>
      <c r="V51" s="409">
        <f t="shared" si="9"/>
        <v>1.7041637371643586E-2</v>
      </c>
      <c r="W51" s="407">
        <f t="shared" si="41"/>
        <v>1.7041637371643586E-2</v>
      </c>
      <c r="X51" s="407">
        <f t="shared" si="48"/>
        <v>2.9190441390670667</v>
      </c>
      <c r="Y51" s="407">
        <f t="shared" si="11"/>
        <v>5.1124912114930754E-2</v>
      </c>
      <c r="Z51" s="407">
        <f t="shared" si="12"/>
        <v>4.449777691096763E-2</v>
      </c>
      <c r="AA51" s="407">
        <f t="shared" si="13"/>
        <v>6.4512E-2</v>
      </c>
      <c r="AB51" s="407">
        <f t="shared" si="14"/>
        <v>0</v>
      </c>
      <c r="AC51" s="407">
        <f t="shared" si="49"/>
        <v>0.16178897848716253</v>
      </c>
      <c r="AD51" s="407">
        <f t="shared" si="50"/>
        <v>3.5714220314287393</v>
      </c>
      <c r="AE51" s="407">
        <f t="shared" si="17"/>
        <v>7.6530331959447501E-2</v>
      </c>
      <c r="AF51" s="407">
        <f t="shared" si="18"/>
        <v>5.8060800000000003E-2</v>
      </c>
      <c r="AG51" s="407">
        <f t="shared" si="51"/>
        <v>0.13668321431236949</v>
      </c>
      <c r="AH51" s="407">
        <f t="shared" si="52"/>
        <v>0</v>
      </c>
      <c r="AI51">
        <f t="shared" si="21"/>
        <v>0</v>
      </c>
      <c r="AJ51" s="408">
        <f t="shared" si="22"/>
        <v>0.20280637439999999</v>
      </c>
      <c r="AK51">
        <f t="shared" si="23"/>
        <v>2.52E-2</v>
      </c>
      <c r="AL51" s="408">
        <f t="shared" si="24"/>
        <v>4.4160000000000005E-2</v>
      </c>
      <c r="AM51" s="408">
        <f t="shared" si="25"/>
        <v>4.9347355729984298E-2</v>
      </c>
      <c r="AN51" s="408">
        <f t="shared" si="42"/>
        <v>6.9360000000000005E-2</v>
      </c>
      <c r="AO51" s="408">
        <f t="shared" si="53"/>
        <v>0.89860854504511989</v>
      </c>
      <c r="AP51">
        <f t="shared" si="27"/>
        <v>21</v>
      </c>
      <c r="AQ51" s="10">
        <f t="shared" si="43"/>
        <v>0.95896503911667741</v>
      </c>
      <c r="AR51" s="63">
        <f t="shared" si="54"/>
        <v>8.0894489243581269</v>
      </c>
      <c r="AS51" s="63">
        <f t="shared" si="44"/>
        <v>6.8341607156184745</v>
      </c>
      <c r="AT51" s="10"/>
      <c r="AU51">
        <f t="shared" si="45"/>
        <v>95.896503911667736</v>
      </c>
      <c r="BD51">
        <v>9.9964639999999996</v>
      </c>
      <c r="BE51">
        <v>10.493</v>
      </c>
      <c r="BF51">
        <v>5.1092279999999999</v>
      </c>
      <c r="BG51">
        <v>89.626660259106615</v>
      </c>
      <c r="BH51">
        <v>6204.9221585439973</v>
      </c>
    </row>
    <row r="52" spans="1:60" x14ac:dyDescent="0.2">
      <c r="A52" s="33" t="s">
        <v>169</v>
      </c>
      <c r="B52" s="5">
        <f>RGateBot</f>
        <v>1</v>
      </c>
      <c r="C52" s="416" t="s">
        <v>208</v>
      </c>
      <c r="D52" s="31" t="s">
        <v>181</v>
      </c>
      <c r="G52">
        <v>43</v>
      </c>
      <c r="H52">
        <f t="shared" si="0"/>
        <v>4.3</v>
      </c>
      <c r="I52" s="407">
        <f t="shared" si="1"/>
        <v>0.40057936507936509</v>
      </c>
      <c r="J52" s="408">
        <f t="shared" si="2"/>
        <v>6.6067777226631383</v>
      </c>
      <c r="K52" s="408">
        <f t="shared" si="31"/>
        <v>7.6033888613315685</v>
      </c>
      <c r="L52" s="408">
        <f t="shared" si="32"/>
        <v>0.99661113866843065</v>
      </c>
      <c r="M52" s="63">
        <f t="shared" si="3"/>
        <v>0</v>
      </c>
      <c r="N52" s="407">
        <f t="shared" si="46"/>
        <v>4.7039833463838381</v>
      </c>
      <c r="O52" s="407">
        <f t="shared" si="5"/>
        <v>0.11162529024299293</v>
      </c>
      <c r="P52">
        <f t="shared" si="6"/>
        <v>0.2</v>
      </c>
      <c r="Q52" s="407">
        <f t="shared" si="34"/>
        <v>0.31162529024299296</v>
      </c>
      <c r="R52" s="9">
        <f t="shared" si="39"/>
        <v>1.9072124483277928</v>
      </c>
      <c r="S52" s="9">
        <f t="shared" si="7"/>
        <v>3.6374593230564939E-3</v>
      </c>
      <c r="T52" s="9">
        <f t="shared" si="40"/>
        <v>3.6374593230564939E-3</v>
      </c>
      <c r="U52" s="407">
        <f t="shared" si="47"/>
        <v>2.9772140679584069</v>
      </c>
      <c r="V52" s="409">
        <f t="shared" si="9"/>
        <v>1.7727607212898892E-2</v>
      </c>
      <c r="W52" s="407">
        <f t="shared" si="41"/>
        <v>1.7727607212898892E-2</v>
      </c>
      <c r="X52" s="407">
        <f t="shared" si="48"/>
        <v>2.9772140679584069</v>
      </c>
      <c r="Y52" s="407">
        <f t="shared" si="11"/>
        <v>5.3182821638696677E-2</v>
      </c>
      <c r="Z52" s="407">
        <f t="shared" si="12"/>
        <v>4.5485470264426897E-2</v>
      </c>
      <c r="AA52" s="407">
        <f t="shared" si="13"/>
        <v>6.4512E-2</v>
      </c>
      <c r="AB52" s="407">
        <f t="shared" si="14"/>
        <v>0</v>
      </c>
      <c r="AC52" s="407">
        <f t="shared" si="49"/>
        <v>0.16493462970181882</v>
      </c>
      <c r="AD52" s="407">
        <f t="shared" si="50"/>
        <v>3.6419302185252045</v>
      </c>
      <c r="AE52" s="407">
        <f t="shared" si="17"/>
        <v>7.9581934299642262E-2</v>
      </c>
      <c r="AF52" s="407">
        <f t="shared" si="18"/>
        <v>5.9443199999999995E-2</v>
      </c>
      <c r="AG52" s="407">
        <f t="shared" si="51"/>
        <v>0.14127370118076932</v>
      </c>
      <c r="AH52" s="407">
        <f t="shared" si="52"/>
        <v>0</v>
      </c>
      <c r="AI52">
        <f t="shared" si="21"/>
        <v>0</v>
      </c>
      <c r="AJ52" s="408">
        <f t="shared" si="22"/>
        <v>0.20279669759999999</v>
      </c>
      <c r="AK52">
        <f t="shared" si="23"/>
        <v>2.52E-2</v>
      </c>
      <c r="AL52" s="408">
        <f t="shared" si="24"/>
        <v>4.4160000000000005E-2</v>
      </c>
      <c r="AM52" s="408">
        <f t="shared" si="25"/>
        <v>4.9347355729984298E-2</v>
      </c>
      <c r="AN52" s="408">
        <f t="shared" si="42"/>
        <v>6.9360000000000005E-2</v>
      </c>
      <c r="AO52" s="408">
        <f t="shared" si="53"/>
        <v>0.91135538526153648</v>
      </c>
      <c r="AP52">
        <f t="shared" si="27"/>
        <v>21.5</v>
      </c>
      <c r="AQ52" s="10">
        <f t="shared" si="43"/>
        <v>0.95933510626220875</v>
      </c>
      <c r="AR52" s="63">
        <f t="shared" si="54"/>
        <v>8.2467314850909403</v>
      </c>
      <c r="AS52" s="63">
        <f t="shared" si="44"/>
        <v>7.0636850590384661</v>
      </c>
      <c r="AT52" s="10"/>
      <c r="AU52">
        <f t="shared" si="45"/>
        <v>95.93351062622088</v>
      </c>
      <c r="BD52">
        <v>9.9959819999999997</v>
      </c>
      <c r="BE52">
        <v>11.519</v>
      </c>
      <c r="BF52">
        <v>5.1101260000000002</v>
      </c>
      <c r="BG52">
        <v>88.591390420220321</v>
      </c>
      <c r="BH52">
        <v>7580.3207309739973</v>
      </c>
    </row>
    <row r="53" spans="1:60" x14ac:dyDescent="0.2">
      <c r="A53" s="33" t="s">
        <v>144</v>
      </c>
      <c r="B53" s="5">
        <f>VsdBot</f>
        <v>0.9</v>
      </c>
      <c r="C53" s="417" t="s">
        <v>0</v>
      </c>
      <c r="D53" s="31" t="s">
        <v>186</v>
      </c>
      <c r="G53">
        <v>44</v>
      </c>
      <c r="H53">
        <f t="shared" si="0"/>
        <v>4.4000000000000004</v>
      </c>
      <c r="I53" s="407">
        <f t="shared" si="1"/>
        <v>0.40066666666666667</v>
      </c>
      <c r="J53" s="408">
        <f t="shared" si="2"/>
        <v>6.6082175925925917</v>
      </c>
      <c r="K53" s="408">
        <f t="shared" si="31"/>
        <v>7.7041087962962962</v>
      </c>
      <c r="L53" s="408">
        <f t="shared" si="32"/>
        <v>1.0958912037037045</v>
      </c>
      <c r="M53" s="63">
        <f t="shared" si="3"/>
        <v>0</v>
      </c>
      <c r="N53" s="407">
        <f t="shared" si="46"/>
        <v>4.7957319544835055</v>
      </c>
      <c r="O53" s="407">
        <f t="shared" si="5"/>
        <v>0.11606295978931888</v>
      </c>
      <c r="P53">
        <f t="shared" si="6"/>
        <v>0.2</v>
      </c>
      <c r="Q53" s="407">
        <f t="shared" si="34"/>
        <v>0.31606295978931886</v>
      </c>
      <c r="R53" s="9">
        <f t="shared" si="39"/>
        <v>1.907628102973477</v>
      </c>
      <c r="S53" s="9">
        <f t="shared" si="7"/>
        <v>3.6390449792541866E-3</v>
      </c>
      <c r="T53" s="9">
        <f t="shared" si="40"/>
        <v>3.6390449792541866E-3</v>
      </c>
      <c r="U53" s="407">
        <f t="shared" si="47"/>
        <v>3.035613725155839</v>
      </c>
      <c r="V53" s="409">
        <f t="shared" si="9"/>
        <v>1.842990137670902E-2</v>
      </c>
      <c r="W53" s="407">
        <f t="shared" si="41"/>
        <v>1.842990137670902E-2</v>
      </c>
      <c r="X53" s="407">
        <f t="shared" si="48"/>
        <v>3.035613725155839</v>
      </c>
      <c r="Y53" s="407">
        <f t="shared" si="11"/>
        <v>5.5289704130127057E-2</v>
      </c>
      <c r="Z53" s="407">
        <f t="shared" si="12"/>
        <v>4.6473163617886171E-2</v>
      </c>
      <c r="AA53" s="407">
        <f t="shared" si="13"/>
        <v>6.4512E-2</v>
      </c>
      <c r="AB53" s="407">
        <f t="shared" si="14"/>
        <v>0</v>
      </c>
      <c r="AC53" s="407">
        <f t="shared" si="49"/>
        <v>0.16813408450531092</v>
      </c>
      <c r="AD53" s="407">
        <f t="shared" si="50"/>
        <v>3.7126936704904261</v>
      </c>
      <c r="AE53" s="407">
        <f t="shared" si="17"/>
        <v>8.2704565745398029E-2</v>
      </c>
      <c r="AF53" s="407">
        <f t="shared" si="18"/>
        <v>6.0825600000000001E-2</v>
      </c>
      <c r="AG53" s="407">
        <f t="shared" si="51"/>
        <v>0.1459442163526985</v>
      </c>
      <c r="AH53" s="407">
        <f t="shared" si="52"/>
        <v>0</v>
      </c>
      <c r="AI53">
        <f t="shared" si="21"/>
        <v>0</v>
      </c>
      <c r="AJ53" s="408">
        <f t="shared" si="22"/>
        <v>0.2027870208</v>
      </c>
      <c r="AK53">
        <f t="shared" si="23"/>
        <v>2.52E-2</v>
      </c>
      <c r="AL53" s="408">
        <f t="shared" si="24"/>
        <v>4.4160000000000005E-2</v>
      </c>
      <c r="AM53" s="408">
        <f t="shared" si="25"/>
        <v>4.9347355729984298E-2</v>
      </c>
      <c r="AN53" s="408">
        <f t="shared" si="42"/>
        <v>6.9360000000000005E-2</v>
      </c>
      <c r="AO53" s="408">
        <f t="shared" si="53"/>
        <v>0.92435722780329155</v>
      </c>
      <c r="AP53">
        <f t="shared" si="27"/>
        <v>22</v>
      </c>
      <c r="AQ53" s="10">
        <f t="shared" si="43"/>
        <v>0.95967794348091007</v>
      </c>
      <c r="AR53" s="63">
        <f t="shared" si="54"/>
        <v>8.4067042252655462</v>
      </c>
      <c r="AS53" s="63">
        <f t="shared" si="44"/>
        <v>7.2972108176349249</v>
      </c>
      <c r="AT53" s="10"/>
      <c r="AU53">
        <f t="shared" si="45"/>
        <v>95.967794348091005</v>
      </c>
      <c r="BD53">
        <v>9.9955739999999995</v>
      </c>
      <c r="BE53">
        <v>12.605</v>
      </c>
      <c r="BF53">
        <v>5.1111979999999999</v>
      </c>
      <c r="BG53">
        <v>87.386508098290477</v>
      </c>
      <c r="BH53">
        <v>9299.4335961019988</v>
      </c>
    </row>
    <row r="54" spans="1:60" x14ac:dyDescent="0.2">
      <c r="A54" s="33" t="s">
        <v>145</v>
      </c>
      <c r="B54" s="5">
        <f>QrrBot*1000000000</f>
        <v>62.999999999999993</v>
      </c>
      <c r="C54" s="417" t="s">
        <v>136</v>
      </c>
      <c r="D54" s="31" t="s">
        <v>196</v>
      </c>
      <c r="G54">
        <v>45</v>
      </c>
      <c r="H54">
        <f t="shared" si="0"/>
        <v>4.5</v>
      </c>
      <c r="I54" s="407">
        <f t="shared" si="1"/>
        <v>0.40075396825396825</v>
      </c>
      <c r="J54" s="408">
        <f t="shared" si="2"/>
        <v>6.609657462522045</v>
      </c>
      <c r="K54" s="408">
        <f t="shared" si="31"/>
        <v>7.8048287312610221</v>
      </c>
      <c r="L54" s="408">
        <f t="shared" si="32"/>
        <v>1.1951712687389775</v>
      </c>
      <c r="M54" s="63">
        <f t="shared" si="3"/>
        <v>0</v>
      </c>
      <c r="N54" s="407">
        <f t="shared" si="46"/>
        <v>4.88780431083216</v>
      </c>
      <c r="O54" s="407">
        <f t="shared" si="5"/>
        <v>0.12060569335056512</v>
      </c>
      <c r="P54">
        <f t="shared" si="6"/>
        <v>0.2</v>
      </c>
      <c r="Q54" s="407">
        <f t="shared" si="34"/>
        <v>0.3206056933505651</v>
      </c>
      <c r="R54" s="9">
        <f t="shared" si="39"/>
        <v>1.9080437576191609</v>
      </c>
      <c r="S54" s="9">
        <f t="shared" si="7"/>
        <v>3.6406309809894474E-3</v>
      </c>
      <c r="T54" s="9">
        <f t="shared" si="40"/>
        <v>3.6406309809894474E-3</v>
      </c>
      <c r="U54" s="407">
        <f t="shared" si="47"/>
        <v>3.0942309496420459</v>
      </c>
      <c r="V54" s="409">
        <f t="shared" si="9"/>
        <v>1.9148530339445437E-2</v>
      </c>
      <c r="W54" s="407">
        <f t="shared" si="41"/>
        <v>1.9148530339445437E-2</v>
      </c>
      <c r="X54" s="407">
        <f t="shared" si="48"/>
        <v>3.0942309496420459</v>
      </c>
      <c r="Y54" s="407">
        <f t="shared" si="11"/>
        <v>5.7445591018336309E-2</v>
      </c>
      <c r="Z54" s="407">
        <f t="shared" si="12"/>
        <v>4.746085697134543E-2</v>
      </c>
      <c r="AA54" s="407">
        <f t="shared" si="13"/>
        <v>6.4512E-2</v>
      </c>
      <c r="AB54" s="407">
        <f t="shared" si="14"/>
        <v>0</v>
      </c>
      <c r="AC54" s="407">
        <f t="shared" si="49"/>
        <v>0.17138753969183698</v>
      </c>
      <c r="AD54" s="407">
        <f t="shared" si="50"/>
        <v>3.7836973731083106</v>
      </c>
      <c r="AE54" s="407">
        <f t="shared" si="17"/>
        <v>8.5898194867600378E-2</v>
      </c>
      <c r="AF54" s="407">
        <f t="shared" si="18"/>
        <v>6.2207999999999999E-2</v>
      </c>
      <c r="AG54" s="407">
        <f t="shared" si="51"/>
        <v>0.15069508197094625</v>
      </c>
      <c r="AH54" s="407">
        <f t="shared" si="52"/>
        <v>0</v>
      </c>
      <c r="AI54">
        <f t="shared" si="21"/>
        <v>0</v>
      </c>
      <c r="AJ54" s="408">
        <f t="shared" si="22"/>
        <v>0.202777344</v>
      </c>
      <c r="AK54">
        <f t="shared" si="23"/>
        <v>2.52E-2</v>
      </c>
      <c r="AL54" s="408">
        <f t="shared" si="24"/>
        <v>4.4160000000000005E-2</v>
      </c>
      <c r="AM54" s="408">
        <f t="shared" si="25"/>
        <v>4.9347355729984298E-2</v>
      </c>
      <c r="AN54" s="408">
        <f t="shared" si="42"/>
        <v>6.9360000000000005E-2</v>
      </c>
      <c r="AO54" s="408">
        <f t="shared" si="53"/>
        <v>0.93761482033378318</v>
      </c>
      <c r="AP54">
        <f t="shared" si="27"/>
        <v>22.5</v>
      </c>
      <c r="AQ54" s="10">
        <f t="shared" si="43"/>
        <v>0.95999529698216823</v>
      </c>
      <c r="AR54" s="63">
        <f t="shared" si="54"/>
        <v>8.5693769845918499</v>
      </c>
      <c r="AS54" s="63">
        <f t="shared" si="44"/>
        <v>7.534754098547312</v>
      </c>
      <c r="AT54" s="10"/>
      <c r="AU54">
        <f t="shared" si="45"/>
        <v>95.999529698216818</v>
      </c>
      <c r="BD54">
        <v>9.9949670000000008</v>
      </c>
      <c r="BE54">
        <v>13.75</v>
      </c>
      <c r="BF54">
        <v>5.1122329999999998</v>
      </c>
      <c r="BG54">
        <v>85.985113444924963</v>
      </c>
      <c r="BH54">
        <v>11457.230537720005</v>
      </c>
    </row>
    <row r="55" spans="1:60" x14ac:dyDescent="0.2">
      <c r="A55" s="33" t="s">
        <v>146</v>
      </c>
      <c r="B55" s="5">
        <f>TrrBot*1000000000</f>
        <v>40</v>
      </c>
      <c r="C55" s="417" t="s">
        <v>147</v>
      </c>
      <c r="D55" s="31" t="s">
        <v>187</v>
      </c>
      <c r="G55">
        <v>46</v>
      </c>
      <c r="H55">
        <f t="shared" si="0"/>
        <v>4.6000000000000005</v>
      </c>
      <c r="I55" s="407">
        <f t="shared" si="1"/>
        <v>0.40084126984126978</v>
      </c>
      <c r="J55" s="408">
        <f t="shared" si="2"/>
        <v>6.6110973324514974</v>
      </c>
      <c r="K55" s="408">
        <f t="shared" si="31"/>
        <v>7.9055486662257497</v>
      </c>
      <c r="L55" s="408">
        <f t="shared" si="32"/>
        <v>1.2944513337742518</v>
      </c>
      <c r="M55" s="63">
        <f t="shared" si="3"/>
        <v>0</v>
      </c>
      <c r="N55" s="407">
        <f t="shared" si="46"/>
        <v>4.9801824593344248</v>
      </c>
      <c r="O55" s="407">
        <f t="shared" si="5"/>
        <v>0.12525371458139939</v>
      </c>
      <c r="P55">
        <f t="shared" si="6"/>
        <v>0.2</v>
      </c>
      <c r="Q55" s="407">
        <f t="shared" si="34"/>
        <v>0.3252537145813994</v>
      </c>
      <c r="R55" s="9">
        <f t="shared" si="39"/>
        <v>1.9084594122648446</v>
      </c>
      <c r="S55" s="9">
        <f t="shared" si="7"/>
        <v>3.642217328262276E-3</v>
      </c>
      <c r="T55" s="9">
        <f t="shared" si="40"/>
        <v>3.642217328262276E-3</v>
      </c>
      <c r="U55" s="407">
        <f t="shared" si="47"/>
        <v>3.1530544379600869</v>
      </c>
      <c r="V55" s="409">
        <f t="shared" si="9"/>
        <v>1.9883504577479599E-2</v>
      </c>
      <c r="W55" s="407">
        <f t="shared" si="41"/>
        <v>1.9883504577479599E-2</v>
      </c>
      <c r="X55" s="407">
        <f t="shared" si="48"/>
        <v>3.1530544379600869</v>
      </c>
      <c r="Y55" s="407">
        <f t="shared" si="11"/>
        <v>5.9650513732438799E-2</v>
      </c>
      <c r="Z55" s="407">
        <f t="shared" si="12"/>
        <v>4.8448550324804711E-2</v>
      </c>
      <c r="AA55" s="407">
        <f t="shared" si="13"/>
        <v>6.4512E-2</v>
      </c>
      <c r="AB55" s="407">
        <f t="shared" si="14"/>
        <v>0</v>
      </c>
      <c r="AC55" s="407">
        <f t="shared" si="49"/>
        <v>0.1746951956911568</v>
      </c>
      <c r="AD55" s="407">
        <f t="shared" si="50"/>
        <v>3.854927371497741</v>
      </c>
      <c r="AE55" s="407">
        <f t="shared" si="17"/>
        <v>8.9162790237134901E-2</v>
      </c>
      <c r="AF55" s="407">
        <f t="shared" si="18"/>
        <v>6.3590400000000005E-2</v>
      </c>
      <c r="AG55" s="407">
        <f t="shared" si="51"/>
        <v>0.155526627856303</v>
      </c>
      <c r="AH55" s="407">
        <f t="shared" si="52"/>
        <v>0</v>
      </c>
      <c r="AI55">
        <f t="shared" si="21"/>
        <v>0</v>
      </c>
      <c r="AJ55" s="408">
        <f t="shared" si="22"/>
        <v>0.2027676672</v>
      </c>
      <c r="AK55">
        <f t="shared" si="23"/>
        <v>2.52E-2</v>
      </c>
      <c r="AL55" s="408">
        <f t="shared" si="24"/>
        <v>4.4160000000000005E-2</v>
      </c>
      <c r="AM55" s="408">
        <f t="shared" si="25"/>
        <v>4.9347355729984298E-2</v>
      </c>
      <c r="AN55" s="408">
        <f t="shared" si="42"/>
        <v>6.9360000000000005E-2</v>
      </c>
      <c r="AO55" s="408">
        <f t="shared" si="53"/>
        <v>0.95112892723460096</v>
      </c>
      <c r="AP55">
        <f t="shared" si="27"/>
        <v>23.000000000000004</v>
      </c>
      <c r="AQ55" s="10">
        <f t="shared" si="43"/>
        <v>0.96028876425306686</v>
      </c>
      <c r="AR55" s="63">
        <f t="shared" si="54"/>
        <v>8.7347597845578395</v>
      </c>
      <c r="AS55" s="63">
        <f t="shared" si="44"/>
        <v>7.7763313928151501</v>
      </c>
      <c r="AT55" s="10"/>
      <c r="AU55">
        <f t="shared" si="45"/>
        <v>96.028876425306692</v>
      </c>
      <c r="BD55">
        <v>9.9943860000000004</v>
      </c>
      <c r="BE55">
        <v>14.954000000000001</v>
      </c>
      <c r="BF55">
        <v>5.1130310000000003</v>
      </c>
      <c r="BG55">
        <v>84.352650264578628</v>
      </c>
      <c r="BH55">
        <v>14183.318533699994</v>
      </c>
    </row>
    <row r="56" spans="1:60" x14ac:dyDescent="0.2">
      <c r="A56" s="33" t="s">
        <v>160</v>
      </c>
      <c r="B56" s="5">
        <f>ThetaJaBot</f>
        <v>50</v>
      </c>
      <c r="C56" s="417" t="s">
        <v>381</v>
      </c>
      <c r="D56" s="31" t="s">
        <v>184</v>
      </c>
      <c r="E56" s="2"/>
      <c r="G56">
        <v>47</v>
      </c>
      <c r="H56">
        <f t="shared" si="0"/>
        <v>4.6999999999999993</v>
      </c>
      <c r="I56" s="407">
        <f t="shared" si="1"/>
        <v>0.40092857142857147</v>
      </c>
      <c r="J56" s="408">
        <f t="shared" si="2"/>
        <v>6.6125372023809526</v>
      </c>
      <c r="K56" s="408">
        <f t="shared" si="31"/>
        <v>8.0062686011904756</v>
      </c>
      <c r="L56" s="408">
        <f t="shared" si="32"/>
        <v>1.393731398809523</v>
      </c>
      <c r="M56" s="63">
        <f t="shared" si="3"/>
        <v>0</v>
      </c>
      <c r="N56" s="407">
        <f t="shared" si="46"/>
        <v>5.0728496943111443</v>
      </c>
      <c r="O56" s="407">
        <f t="shared" si="5"/>
        <v>0.13000725256893417</v>
      </c>
      <c r="P56">
        <f t="shared" si="6"/>
        <v>0.2</v>
      </c>
      <c r="Q56" s="407">
        <f t="shared" si="34"/>
        <v>0.33000725256893415</v>
      </c>
      <c r="R56" s="9">
        <f t="shared" si="39"/>
        <v>1.908875066910529</v>
      </c>
      <c r="S56" s="9">
        <f t="shared" si="7"/>
        <v>3.6438040210726766E-3</v>
      </c>
      <c r="T56" s="9">
        <f t="shared" si="40"/>
        <v>3.6438040210726766E-3</v>
      </c>
      <c r="U56" s="407">
        <f t="shared" si="47"/>
        <v>3.2120736734376898</v>
      </c>
      <c r="V56" s="409">
        <f t="shared" si="9"/>
        <v>2.0634834567182989E-2</v>
      </c>
      <c r="W56" s="407">
        <f t="shared" si="41"/>
        <v>2.0634834567182989E-2</v>
      </c>
      <c r="X56" s="407">
        <f t="shared" si="48"/>
        <v>3.2120736734376898</v>
      </c>
      <c r="Y56" s="407">
        <f t="shared" si="11"/>
        <v>6.1904503701548964E-2</v>
      </c>
      <c r="Z56" s="407">
        <f t="shared" si="12"/>
        <v>4.9436243678263971E-2</v>
      </c>
      <c r="AA56" s="407">
        <f t="shared" si="13"/>
        <v>6.4512E-2</v>
      </c>
      <c r="AB56" s="407">
        <f t="shared" si="14"/>
        <v>0</v>
      </c>
      <c r="AC56" s="407">
        <f t="shared" si="49"/>
        <v>0.17805725659986776</v>
      </c>
      <c r="AD56" s="407">
        <f t="shared" si="50"/>
        <v>3.9263706826382521</v>
      </c>
      <c r="AE56" s="407">
        <f t="shared" si="17"/>
        <v>9.2498320424887051E-2</v>
      </c>
      <c r="AF56" s="407">
        <f t="shared" si="18"/>
        <v>6.4972799999999983E-2</v>
      </c>
      <c r="AG56" s="407">
        <f t="shared" si="51"/>
        <v>0.16043919157509157</v>
      </c>
      <c r="AH56" s="407">
        <f t="shared" si="52"/>
        <v>0</v>
      </c>
      <c r="AI56">
        <f t="shared" si="21"/>
        <v>0</v>
      </c>
      <c r="AJ56" s="408">
        <f t="shared" si="22"/>
        <v>0.2027579904</v>
      </c>
      <c r="AK56">
        <f t="shared" si="23"/>
        <v>2.52E-2</v>
      </c>
      <c r="AL56" s="408">
        <f t="shared" si="24"/>
        <v>4.4160000000000005E-2</v>
      </c>
      <c r="AM56" s="408">
        <f t="shared" si="25"/>
        <v>4.9347355729984298E-2</v>
      </c>
      <c r="AN56" s="408">
        <f t="shared" si="42"/>
        <v>6.9360000000000005E-2</v>
      </c>
      <c r="AO56" s="408">
        <f t="shared" si="53"/>
        <v>0.96490032973214912</v>
      </c>
      <c r="AP56">
        <f t="shared" si="27"/>
        <v>23.499999999999996</v>
      </c>
      <c r="AQ56" s="10">
        <f t="shared" si="43"/>
        <v>0.96055980949329645</v>
      </c>
      <c r="AR56" s="63">
        <f t="shared" si="54"/>
        <v>8.9028628299933885</v>
      </c>
      <c r="AS56" s="63">
        <f t="shared" si="44"/>
        <v>8.0219595787545792</v>
      </c>
      <c r="AT56" s="10"/>
      <c r="AU56">
        <f t="shared" si="45"/>
        <v>96.055980949329651</v>
      </c>
      <c r="BE56" s="28"/>
      <c r="BF56" s="29"/>
    </row>
    <row r="57" spans="1:60" x14ac:dyDescent="0.2">
      <c r="A57" s="34" t="s">
        <v>364</v>
      </c>
      <c r="B57" s="25" t="s">
        <v>201</v>
      </c>
      <c r="C57" s="34" t="s">
        <v>148</v>
      </c>
      <c r="D57" s="477" t="s">
        <v>391</v>
      </c>
      <c r="G57">
        <v>48</v>
      </c>
      <c r="H57">
        <f t="shared" si="0"/>
        <v>4.8</v>
      </c>
      <c r="I57" s="407">
        <f t="shared" si="1"/>
        <v>0.40101587301587305</v>
      </c>
      <c r="J57" s="408">
        <f t="shared" si="2"/>
        <v>6.6139770723104059</v>
      </c>
      <c r="K57" s="408">
        <f t="shared" si="31"/>
        <v>8.1069885361552032</v>
      </c>
      <c r="L57" s="408">
        <f t="shared" si="32"/>
        <v>1.4930114638447969</v>
      </c>
      <c r="M57" s="63">
        <f t="shared" si="3"/>
        <v>0</v>
      </c>
      <c r="N57" s="407">
        <f t="shared" si="46"/>
        <v>5.1657904583345848</v>
      </c>
      <c r="O57" s="407">
        <f t="shared" si="5"/>
        <v>0.13486654186126298</v>
      </c>
      <c r="P57">
        <f t="shared" si="6"/>
        <v>0.2</v>
      </c>
      <c r="Q57" s="407">
        <f t="shared" si="34"/>
        <v>0.33486654186126297</v>
      </c>
      <c r="R57" s="9">
        <f t="shared" si="39"/>
        <v>1.9092907215562129</v>
      </c>
      <c r="S57" s="9">
        <f t="shared" si="7"/>
        <v>3.6453910594206442E-3</v>
      </c>
      <c r="T57" s="9">
        <f t="shared" si="40"/>
        <v>3.6453910594206442E-3</v>
      </c>
      <c r="U57" s="407">
        <f t="shared" si="47"/>
        <v>3.2712788619228936</v>
      </c>
      <c r="V57" s="409">
        <f t="shared" si="9"/>
        <v>2.1402530784927085E-2</v>
      </c>
      <c r="W57" s="407">
        <f t="shared" si="41"/>
        <v>2.1402530784927085E-2</v>
      </c>
      <c r="X57" s="407">
        <f t="shared" si="48"/>
        <v>3.2712788619228936</v>
      </c>
      <c r="Y57" s="407">
        <f t="shared" si="11"/>
        <v>6.4207592354781254E-2</v>
      </c>
      <c r="Z57" s="407">
        <f t="shared" si="12"/>
        <v>5.0423937031723244E-2</v>
      </c>
      <c r="AA57" s="407">
        <f t="shared" si="13"/>
        <v>6.4512E-2</v>
      </c>
      <c r="AB57" s="407">
        <f t="shared" si="14"/>
        <v>0</v>
      </c>
      <c r="AC57" s="407">
        <f t="shared" si="49"/>
        <v>0.1814739302133361</v>
      </c>
      <c r="AD57" s="407">
        <f t="shared" si="50"/>
        <v>3.998015215948671</v>
      </c>
      <c r="AE57" s="407">
        <f t="shared" si="17"/>
        <v>9.5904754001742587E-2</v>
      </c>
      <c r="AF57" s="407">
        <f t="shared" si="18"/>
        <v>6.6355199999999989E-2</v>
      </c>
      <c r="AG57" s="407">
        <f t="shared" si="51"/>
        <v>0.16543311850860437</v>
      </c>
      <c r="AH57" s="407">
        <f t="shared" si="52"/>
        <v>0</v>
      </c>
      <c r="AI57">
        <f t="shared" si="21"/>
        <v>0</v>
      </c>
      <c r="AJ57" s="408">
        <f t="shared" si="22"/>
        <v>0.20274831359999998</v>
      </c>
      <c r="AK57">
        <f t="shared" si="23"/>
        <v>2.52E-2</v>
      </c>
      <c r="AL57" s="408">
        <f t="shared" si="24"/>
        <v>4.4160000000000005E-2</v>
      </c>
      <c r="AM57" s="408">
        <f t="shared" si="25"/>
        <v>4.9347355729984298E-2</v>
      </c>
      <c r="AN57" s="408">
        <f t="shared" si="42"/>
        <v>6.9360000000000005E-2</v>
      </c>
      <c r="AO57" s="408">
        <f t="shared" si="53"/>
        <v>0.97892982602755108</v>
      </c>
      <c r="AP57">
        <f t="shared" si="27"/>
        <v>24</v>
      </c>
      <c r="AQ57" s="10">
        <f t="shared" si="43"/>
        <v>0.96080977716637306</v>
      </c>
      <c r="AR57" s="63">
        <f t="shared" si="54"/>
        <v>9.0736965106668048</v>
      </c>
      <c r="AS57" s="63">
        <f t="shared" si="44"/>
        <v>8.2716559254302187</v>
      </c>
      <c r="AT57" s="10"/>
      <c r="AU57">
        <f t="shared" si="45"/>
        <v>96.080977716637307</v>
      </c>
      <c r="BE57" s="28"/>
      <c r="BF57" s="29"/>
    </row>
    <row r="58" spans="1:60" x14ac:dyDescent="0.2">
      <c r="A58" s="33" t="s">
        <v>365</v>
      </c>
      <c r="B58" s="115">
        <f>VfdSky</f>
        <v>0</v>
      </c>
      <c r="C58" s="417" t="s">
        <v>0</v>
      </c>
      <c r="D58" s="31" t="s">
        <v>368</v>
      </c>
      <c r="G58">
        <v>49</v>
      </c>
      <c r="H58">
        <f t="shared" si="0"/>
        <v>4.9000000000000004</v>
      </c>
      <c r="I58" s="407">
        <f t="shared" si="1"/>
        <v>0.40110317460317457</v>
      </c>
      <c r="J58" s="408">
        <f t="shared" si="2"/>
        <v>6.6154169422398574</v>
      </c>
      <c r="K58" s="408">
        <f t="shared" si="31"/>
        <v>8.2077084711199291</v>
      </c>
      <c r="L58" s="408">
        <f t="shared" si="32"/>
        <v>1.5922915288800716</v>
      </c>
      <c r="M58" s="63">
        <f t="shared" si="3"/>
        <v>0</v>
      </c>
      <c r="N58" s="407">
        <f t="shared" si="46"/>
        <v>5.2589902494020828</v>
      </c>
      <c r="O58" s="407">
        <f t="shared" si="5"/>
        <v>0.13983182249672294</v>
      </c>
      <c r="P58">
        <f t="shared" si="6"/>
        <v>0.2</v>
      </c>
      <c r="Q58" s="407">
        <f t="shared" si="34"/>
        <v>0.33983182249672295</v>
      </c>
      <c r="R58" s="9">
        <f t="shared" si="39"/>
        <v>1.9097063762018964</v>
      </c>
      <c r="S58" s="9">
        <f t="shared" si="7"/>
        <v>3.646978443306179E-3</v>
      </c>
      <c r="T58" s="9">
        <f t="shared" si="40"/>
        <v>3.646978443306179E-3</v>
      </c>
      <c r="U58" s="407">
        <f t="shared" si="47"/>
        <v>3.3306608733915968</v>
      </c>
      <c r="V58" s="409">
        <f t="shared" si="9"/>
        <v>2.2186603707083349E-2</v>
      </c>
      <c r="W58" s="407">
        <f t="shared" si="41"/>
        <v>2.2186603707083349E-2</v>
      </c>
      <c r="X58" s="407">
        <f t="shared" si="48"/>
        <v>3.3306608733915968</v>
      </c>
      <c r="Y58" s="407">
        <f t="shared" si="11"/>
        <v>6.6559811121250048E-2</v>
      </c>
      <c r="Z58" s="407">
        <f t="shared" si="12"/>
        <v>5.1411630385182518E-2</v>
      </c>
      <c r="AA58" s="407">
        <f t="shared" si="13"/>
        <v>6.4512E-2</v>
      </c>
      <c r="AB58" s="407">
        <f t="shared" si="14"/>
        <v>0</v>
      </c>
      <c r="AC58" s="407">
        <f t="shared" si="49"/>
        <v>0.18494542805829231</v>
      </c>
      <c r="AD58" s="407">
        <f t="shared" si="50"/>
        <v>4.0698497011271195</v>
      </c>
      <c r="AE58" s="407">
        <f t="shared" si="17"/>
        <v>9.9382059538587031E-2</v>
      </c>
      <c r="AF58" s="407">
        <f t="shared" si="18"/>
        <v>6.7737600000000009E-2</v>
      </c>
      <c r="AG58" s="407">
        <f t="shared" si="51"/>
        <v>0.17050876192447278</v>
      </c>
      <c r="AH58" s="407">
        <f t="shared" si="52"/>
        <v>0</v>
      </c>
      <c r="AI58">
        <f t="shared" si="21"/>
        <v>0</v>
      </c>
      <c r="AJ58" s="408">
        <f t="shared" si="22"/>
        <v>0.20273863679999998</v>
      </c>
      <c r="AK58">
        <f t="shared" si="23"/>
        <v>2.52E-2</v>
      </c>
      <c r="AL58" s="408">
        <f t="shared" si="24"/>
        <v>4.4160000000000005E-2</v>
      </c>
      <c r="AM58" s="408">
        <f t="shared" si="25"/>
        <v>4.9347355729984298E-2</v>
      </c>
      <c r="AN58" s="408">
        <f t="shared" si="42"/>
        <v>6.9360000000000005E-2</v>
      </c>
      <c r="AO58" s="408">
        <f t="shared" si="53"/>
        <v>0.99321823142987753</v>
      </c>
      <c r="AP58">
        <f t="shared" si="27"/>
        <v>24.5</v>
      </c>
      <c r="AQ58" s="10">
        <f t="shared" si="43"/>
        <v>0.96103990393000416</v>
      </c>
      <c r="AR58" s="63">
        <f t="shared" si="54"/>
        <v>9.247271402914615</v>
      </c>
      <c r="AS58" s="63">
        <f t="shared" si="44"/>
        <v>8.52543809622364</v>
      </c>
      <c r="AT58" s="10"/>
      <c r="AU58">
        <f t="shared" si="45"/>
        <v>96.103990393000416</v>
      </c>
      <c r="BE58" s="28"/>
      <c r="BF58" s="29"/>
    </row>
    <row r="59" spans="1:60" x14ac:dyDescent="0.2">
      <c r="A59" s="33" t="s">
        <v>366</v>
      </c>
      <c r="B59" s="115">
        <f>QrrSky</f>
        <v>0</v>
      </c>
      <c r="C59" s="417" t="s">
        <v>136</v>
      </c>
      <c r="D59" s="31" t="s">
        <v>369</v>
      </c>
      <c r="G59">
        <v>50</v>
      </c>
      <c r="H59">
        <f t="shared" si="0"/>
        <v>5</v>
      </c>
      <c r="I59" s="407">
        <f t="shared" si="1"/>
        <v>0.40119047619047626</v>
      </c>
      <c r="J59" s="408">
        <f t="shared" si="2"/>
        <v>6.6168568121693125</v>
      </c>
      <c r="K59" s="408">
        <f t="shared" si="31"/>
        <v>8.3084284060846567</v>
      </c>
      <c r="L59" s="408">
        <f t="shared" si="32"/>
        <v>1.6915715939153437</v>
      </c>
      <c r="M59" s="63">
        <f t="shared" si="3"/>
        <v>0</v>
      </c>
      <c r="N59" s="407">
        <f t="shared" si="46"/>
        <v>5.3524355365318774</v>
      </c>
      <c r="O59" s="407">
        <f t="shared" si="5"/>
        <v>0.14490334003389058</v>
      </c>
      <c r="P59">
        <f t="shared" si="6"/>
        <v>0.2</v>
      </c>
      <c r="Q59" s="407">
        <f t="shared" si="34"/>
        <v>0.34490334003389056</v>
      </c>
      <c r="R59" s="9">
        <f t="shared" si="39"/>
        <v>1.9101220308475808</v>
      </c>
      <c r="S59" s="9">
        <f t="shared" si="7"/>
        <v>3.6485661727292868E-3</v>
      </c>
      <c r="T59" s="9">
        <f t="shared" si="40"/>
        <v>3.6485661727292868E-3</v>
      </c>
      <c r="U59" s="407">
        <f t="shared" si="47"/>
        <v>3.3902111888511652</v>
      </c>
      <c r="V59" s="409">
        <f t="shared" si="9"/>
        <v>2.2987063810023262E-2</v>
      </c>
      <c r="W59" s="407">
        <f t="shared" si="41"/>
        <v>2.2987063810023262E-2</v>
      </c>
      <c r="X59" s="407">
        <f t="shared" si="48"/>
        <v>3.3902111888511652</v>
      </c>
      <c r="Y59" s="407">
        <f t="shared" si="11"/>
        <v>6.896119143006979E-2</v>
      </c>
      <c r="Z59" s="407">
        <f t="shared" si="12"/>
        <v>5.2399323738641784E-2</v>
      </c>
      <c r="AA59" s="407">
        <f t="shared" si="13"/>
        <v>6.4512E-2</v>
      </c>
      <c r="AB59" s="407">
        <f t="shared" si="14"/>
        <v>0</v>
      </c>
      <c r="AC59" s="407">
        <f t="shared" si="49"/>
        <v>0.18847196542610173</v>
      </c>
      <c r="AD59" s="407">
        <f t="shared" si="50"/>
        <v>4.1418636225396961</v>
      </c>
      <c r="AE59" s="407">
        <f t="shared" si="17"/>
        <v>0.10293020560630592</v>
      </c>
      <c r="AF59" s="407">
        <f t="shared" si="18"/>
        <v>6.9120000000000001E-2</v>
      </c>
      <c r="AG59" s="407">
        <f t="shared" si="51"/>
        <v>0.17566648305000054</v>
      </c>
      <c r="AH59" s="407">
        <f t="shared" si="52"/>
        <v>0</v>
      </c>
      <c r="AI59">
        <f t="shared" si="21"/>
        <v>0</v>
      </c>
      <c r="AJ59" s="408">
        <f t="shared" si="22"/>
        <v>0.20272896000000001</v>
      </c>
      <c r="AK59">
        <f t="shared" si="23"/>
        <v>2.52E-2</v>
      </c>
      <c r="AL59" s="408">
        <f t="shared" si="24"/>
        <v>4.4160000000000005E-2</v>
      </c>
      <c r="AM59" s="408">
        <f t="shared" si="25"/>
        <v>4.9347355729984298E-2</v>
      </c>
      <c r="AN59" s="408">
        <f t="shared" si="42"/>
        <v>6.9360000000000005E-2</v>
      </c>
      <c r="AO59" s="408">
        <f t="shared" si="53"/>
        <v>1.0077663784927455</v>
      </c>
      <c r="AP59">
        <f t="shared" si="27"/>
        <v>25</v>
      </c>
      <c r="AQ59" s="10">
        <f t="shared" si="43"/>
        <v>0.96125132916734735</v>
      </c>
      <c r="AR59" s="63">
        <f t="shared" si="54"/>
        <v>9.423598271305087</v>
      </c>
      <c r="AS59" s="63">
        <f t="shared" si="44"/>
        <v>8.7833241525000272</v>
      </c>
      <c r="AT59" s="10"/>
      <c r="AU59">
        <f t="shared" si="45"/>
        <v>96.125132916734728</v>
      </c>
      <c r="BE59" s="28"/>
      <c r="BF59" s="29"/>
    </row>
    <row r="60" spans="1:60" x14ac:dyDescent="0.2">
      <c r="A60" s="33" t="s">
        <v>367</v>
      </c>
      <c r="B60" s="115">
        <f>Ireverse</f>
        <v>0</v>
      </c>
      <c r="C60" s="417" t="s">
        <v>135</v>
      </c>
      <c r="D60" s="31" t="s">
        <v>370</v>
      </c>
      <c r="E60" s="2"/>
      <c r="G60">
        <v>51</v>
      </c>
      <c r="H60">
        <f t="shared" si="0"/>
        <v>5.0999999999999996</v>
      </c>
      <c r="I60" s="407">
        <f t="shared" si="1"/>
        <v>0.40127777777777779</v>
      </c>
      <c r="J60" s="408">
        <f t="shared" si="2"/>
        <v>6.618296682098765</v>
      </c>
      <c r="K60" s="408">
        <f t="shared" si="31"/>
        <v>8.4091483410493826</v>
      </c>
      <c r="L60" s="408">
        <f t="shared" si="32"/>
        <v>1.7908516589506172</v>
      </c>
      <c r="M60" s="63">
        <f t="shared" si="3"/>
        <v>0</v>
      </c>
      <c r="N60" s="407">
        <f t="shared" si="46"/>
        <v>5.4461136829568622</v>
      </c>
      <c r="O60" s="407">
        <f t="shared" si="5"/>
        <v>0.15008134558231875</v>
      </c>
      <c r="P60">
        <f t="shared" si="6"/>
        <v>0.2</v>
      </c>
      <c r="Q60" s="407">
        <f t="shared" si="34"/>
        <v>0.35008134558231874</v>
      </c>
      <c r="R60" s="9">
        <f t="shared" si="39"/>
        <v>1.9105376854932645</v>
      </c>
      <c r="S60" s="9">
        <f t="shared" si="7"/>
        <v>3.6501542476899602E-3</v>
      </c>
      <c r="T60" s="9">
        <f t="shared" si="40"/>
        <v>3.6501542476899602E-3</v>
      </c>
      <c r="U60" s="407">
        <f t="shared" si="47"/>
        <v>3.4499218520220341</v>
      </c>
      <c r="V60" s="409">
        <f t="shared" si="9"/>
        <v>2.3803921570118285E-2</v>
      </c>
      <c r="W60" s="407">
        <f t="shared" si="41"/>
        <v>2.3803921570118285E-2</v>
      </c>
      <c r="X60" s="407">
        <f t="shared" si="48"/>
        <v>3.4499218520220341</v>
      </c>
      <c r="Y60" s="407">
        <f t="shared" si="11"/>
        <v>7.1411764710354847E-2</v>
      </c>
      <c r="Z60" s="407">
        <f t="shared" si="12"/>
        <v>5.3387017092101051E-2</v>
      </c>
      <c r="AA60" s="407">
        <f t="shared" si="13"/>
        <v>6.4512E-2</v>
      </c>
      <c r="AB60" s="407">
        <f t="shared" si="14"/>
        <v>0</v>
      </c>
      <c r="AC60" s="407">
        <f t="shared" si="49"/>
        <v>0.19205376140671893</v>
      </c>
      <c r="AD60" s="407">
        <f t="shared" si="50"/>
        <v>4.2140471595167055</v>
      </c>
      <c r="AE60" s="407">
        <f t="shared" si="17"/>
        <v>0.10654916077578488</v>
      </c>
      <c r="AF60" s="407">
        <f t="shared" si="18"/>
        <v>7.0502399999999993E-2</v>
      </c>
      <c r="AG60" s="407">
        <f t="shared" si="51"/>
        <v>0.18090665114748941</v>
      </c>
      <c r="AH60" s="407">
        <f t="shared" si="52"/>
        <v>0</v>
      </c>
      <c r="AI60">
        <f t="shared" si="21"/>
        <v>0</v>
      </c>
      <c r="AJ60" s="408">
        <f t="shared" si="22"/>
        <v>0.20271928319999999</v>
      </c>
      <c r="AK60">
        <f t="shared" si="23"/>
        <v>2.52E-2</v>
      </c>
      <c r="AL60" s="408">
        <f t="shared" si="24"/>
        <v>4.4160000000000005E-2</v>
      </c>
      <c r="AM60" s="408">
        <f t="shared" si="25"/>
        <v>4.9347355729984298E-2</v>
      </c>
      <c r="AN60" s="408">
        <f t="shared" si="42"/>
        <v>6.9360000000000005E-2</v>
      </c>
      <c r="AO60" s="408">
        <f t="shared" si="53"/>
        <v>1.0225751171543354</v>
      </c>
      <c r="AP60">
        <f t="shared" si="27"/>
        <v>25.5</v>
      </c>
      <c r="AQ60" s="10">
        <f t="shared" si="43"/>
        <v>0.96144510430689845</v>
      </c>
      <c r="AR60" s="63">
        <f t="shared" si="54"/>
        <v>9.6026880703359456</v>
      </c>
      <c r="AS60" s="63">
        <f t="shared" si="44"/>
        <v>9.0453325573744703</v>
      </c>
      <c r="AT60" s="10"/>
      <c r="AU60">
        <f t="shared" si="45"/>
        <v>96.144510430689849</v>
      </c>
      <c r="BE60" s="28"/>
      <c r="BF60" s="29"/>
    </row>
    <row r="61" spans="1:60" x14ac:dyDescent="0.2">
      <c r="A61" s="34" t="s">
        <v>209</v>
      </c>
      <c r="B61" s="25" t="s">
        <v>201</v>
      </c>
      <c r="C61" s="34" t="s">
        <v>148</v>
      </c>
      <c r="D61" s="477" t="s">
        <v>391</v>
      </c>
      <c r="G61">
        <v>52</v>
      </c>
      <c r="H61">
        <f t="shared" si="0"/>
        <v>5.2</v>
      </c>
      <c r="I61" s="407">
        <f t="shared" si="1"/>
        <v>0.40136507936507937</v>
      </c>
      <c r="J61" s="408">
        <f t="shared" si="2"/>
        <v>6.6197365520282174</v>
      </c>
      <c r="K61" s="408">
        <f t="shared" si="31"/>
        <v>8.5098682760141084</v>
      </c>
      <c r="L61" s="408">
        <f t="shared" si="32"/>
        <v>1.8901317239858915</v>
      </c>
      <c r="M61" s="63">
        <f t="shared" si="3"/>
        <v>0</v>
      </c>
      <c r="N61" s="407">
        <f t="shared" si="46"/>
        <v>5.5400128761753074</v>
      </c>
      <c r="O61" s="407">
        <f t="shared" si="5"/>
        <v>0.15536609583402056</v>
      </c>
      <c r="P61">
        <f t="shared" si="6"/>
        <v>0.2</v>
      </c>
      <c r="Q61" s="407">
        <f t="shared" si="34"/>
        <v>0.35536609583402057</v>
      </c>
      <c r="R61" s="9">
        <f t="shared" si="39"/>
        <v>1.9109533401389482</v>
      </c>
      <c r="S61" s="9">
        <f t="shared" si="7"/>
        <v>3.651742668188203E-3</v>
      </c>
      <c r="T61" s="9">
        <f t="shared" si="40"/>
        <v>3.651742668188203E-3</v>
      </c>
      <c r="U61" s="407">
        <f t="shared" si="47"/>
        <v>3.5097854253315757</v>
      </c>
      <c r="V61" s="409">
        <f t="shared" si="9"/>
        <v>2.4637187463739899E-2</v>
      </c>
      <c r="W61" s="407">
        <f t="shared" si="41"/>
        <v>2.4637187463739899E-2</v>
      </c>
      <c r="X61" s="407">
        <f t="shared" si="48"/>
        <v>3.5097854253315757</v>
      </c>
      <c r="Y61" s="407">
        <f t="shared" si="11"/>
        <v>7.3911562391219696E-2</v>
      </c>
      <c r="Z61" s="407">
        <f t="shared" si="12"/>
        <v>5.4374710445560324E-2</v>
      </c>
      <c r="AA61" s="407">
        <f t="shared" si="13"/>
        <v>6.4512E-2</v>
      </c>
      <c r="AB61" s="407">
        <f t="shared" si="14"/>
        <v>0</v>
      </c>
      <c r="AC61" s="407">
        <f t="shared" si="49"/>
        <v>0.19569103892333697</v>
      </c>
      <c r="AD61" s="407">
        <f t="shared" si="50"/>
        <v>4.2863911319801709</v>
      </c>
      <c r="AE61" s="407">
        <f t="shared" si="17"/>
        <v>0.11023889361790952</v>
      </c>
      <c r="AF61" s="407">
        <f t="shared" si="18"/>
        <v>7.1884799999999999E-2</v>
      </c>
      <c r="AG61" s="407">
        <f t="shared" si="51"/>
        <v>0.18622964359158839</v>
      </c>
      <c r="AH61" s="407">
        <f t="shared" si="52"/>
        <v>0</v>
      </c>
      <c r="AI61">
        <f t="shared" si="21"/>
        <v>0</v>
      </c>
      <c r="AJ61" s="408">
        <f t="shared" si="22"/>
        <v>0.20270960639999999</v>
      </c>
      <c r="AK61">
        <f t="shared" si="23"/>
        <v>2.52E-2</v>
      </c>
      <c r="AL61" s="408">
        <f t="shared" si="24"/>
        <v>4.4160000000000005E-2</v>
      </c>
      <c r="AM61" s="408">
        <f t="shared" si="25"/>
        <v>4.9347355729984298E-2</v>
      </c>
      <c r="AN61" s="408">
        <f t="shared" si="42"/>
        <v>6.9360000000000005E-2</v>
      </c>
      <c r="AO61" s="408">
        <f t="shared" si="53"/>
        <v>1.0376453148808742</v>
      </c>
      <c r="AP61">
        <f t="shared" si="27"/>
        <v>26</v>
      </c>
      <c r="AQ61" s="10">
        <f t="shared" si="43"/>
        <v>0.96162220109050034</v>
      </c>
      <c r="AR61" s="63">
        <f t="shared" si="54"/>
        <v>9.7845519461668484</v>
      </c>
      <c r="AS61" s="63">
        <f t="shared" si="44"/>
        <v>9.3114821795794196</v>
      </c>
      <c r="AT61" s="10"/>
      <c r="AU61">
        <f t="shared" si="45"/>
        <v>96.16222010905004</v>
      </c>
      <c r="BE61" s="28"/>
      <c r="BF61" s="29"/>
    </row>
    <row r="62" spans="1:60" x14ac:dyDescent="0.2">
      <c r="A62" s="33" t="s">
        <v>210</v>
      </c>
      <c r="B62" s="116">
        <v>20</v>
      </c>
      <c r="C62" s="417" t="s">
        <v>381</v>
      </c>
      <c r="D62" s="31" t="s">
        <v>184</v>
      </c>
      <c r="G62">
        <v>53</v>
      </c>
      <c r="H62">
        <f t="shared" si="0"/>
        <v>5.3000000000000007</v>
      </c>
      <c r="I62" s="407">
        <f t="shared" si="1"/>
        <v>0.40145238095238095</v>
      </c>
      <c r="J62" s="408">
        <f t="shared" si="2"/>
        <v>6.6211764219576708</v>
      </c>
      <c r="K62" s="408">
        <f t="shared" si="31"/>
        <v>8.6105882109788361</v>
      </c>
      <c r="L62" s="408">
        <f t="shared" si="32"/>
        <v>1.9894117890211653</v>
      </c>
      <c r="M62" s="63">
        <f t="shared" si="3"/>
        <v>0</v>
      </c>
      <c r="N62" s="407">
        <f t="shared" si="46"/>
        <v>5.6341220641927894</v>
      </c>
      <c r="O62" s="407">
        <f t="shared" si="5"/>
        <v>0.16075785309570867</v>
      </c>
      <c r="P62">
        <f t="shared" si="6"/>
        <v>0.2</v>
      </c>
      <c r="Q62" s="407">
        <f t="shared" si="34"/>
        <v>0.36075785309570868</v>
      </c>
      <c r="R62" s="9">
        <f t="shared" si="39"/>
        <v>1.9113689947846322</v>
      </c>
      <c r="S62" s="9">
        <f t="shared" si="7"/>
        <v>3.6533314342240154E-3</v>
      </c>
      <c r="T62" s="9">
        <f t="shared" si="40"/>
        <v>3.6533314342240154E-3</v>
      </c>
      <c r="U62" s="407">
        <f t="shared" si="47"/>
        <v>3.5697949498017096</v>
      </c>
      <c r="V62" s="409">
        <f t="shared" si="9"/>
        <v>2.5486871967259583E-2</v>
      </c>
      <c r="W62" s="407">
        <f t="shared" si="41"/>
        <v>2.5486871967259583E-2</v>
      </c>
      <c r="X62" s="407">
        <f t="shared" si="48"/>
        <v>3.5697949498017096</v>
      </c>
      <c r="Y62" s="407">
        <f t="shared" si="11"/>
        <v>7.6460615901778745E-2</v>
      </c>
      <c r="Z62" s="407">
        <f t="shared" si="12"/>
        <v>5.5362403799019598E-2</v>
      </c>
      <c r="AA62" s="407">
        <f t="shared" si="13"/>
        <v>6.4512E-2</v>
      </c>
      <c r="AB62" s="407">
        <f t="shared" si="14"/>
        <v>0</v>
      </c>
      <c r="AC62" s="407">
        <f t="shared" si="49"/>
        <v>0.19938402476774175</v>
      </c>
      <c r="AD62" s="407">
        <f t="shared" si="50"/>
        <v>4.3588869508848509</v>
      </c>
      <c r="AE62" s="407">
        <f t="shared" si="17"/>
        <v>0.11399937270356539</v>
      </c>
      <c r="AF62" s="407">
        <f t="shared" si="18"/>
        <v>7.3267200000000005E-2</v>
      </c>
      <c r="AG62" s="407">
        <f t="shared" si="51"/>
        <v>0.19163584594869915</v>
      </c>
      <c r="AH62" s="407">
        <f t="shared" si="52"/>
        <v>0</v>
      </c>
      <c r="AI62">
        <f t="shared" si="21"/>
        <v>0</v>
      </c>
      <c r="AJ62" s="408">
        <f t="shared" si="22"/>
        <v>0.2026999296</v>
      </c>
      <c r="AK62">
        <f t="shared" si="23"/>
        <v>2.52E-2</v>
      </c>
      <c r="AL62" s="408">
        <f t="shared" si="24"/>
        <v>4.4160000000000005E-2</v>
      </c>
      <c r="AM62" s="408">
        <f t="shared" si="25"/>
        <v>4.9347355729984298E-2</v>
      </c>
      <c r="AN62" s="408">
        <f t="shared" si="42"/>
        <v>6.9360000000000005E-2</v>
      </c>
      <c r="AO62" s="408">
        <f t="shared" si="53"/>
        <v>1.0529778568136332</v>
      </c>
      <c r="AP62">
        <f t="shared" si="27"/>
        <v>26.500000000000004</v>
      </c>
      <c r="AQ62" s="10">
        <f t="shared" si="43"/>
        <v>0.9617835189254057</v>
      </c>
      <c r="AR62" s="63">
        <f t="shared" si="54"/>
        <v>9.9692012383870878</v>
      </c>
      <c r="AS62" s="63">
        <f t="shared" si="44"/>
        <v>9.5817922974349568</v>
      </c>
      <c r="AT62" s="10"/>
      <c r="AU62">
        <f t="shared" si="45"/>
        <v>96.178351892540576</v>
      </c>
      <c r="BE62" s="28"/>
      <c r="BF62" s="29"/>
    </row>
    <row r="63" spans="1:60" x14ac:dyDescent="0.2">
      <c r="A63" s="33" t="s">
        <v>210</v>
      </c>
      <c r="B63" s="116">
        <v>2</v>
      </c>
      <c r="C63" s="417" t="s">
        <v>278</v>
      </c>
      <c r="D63" s="31" t="s">
        <v>184</v>
      </c>
      <c r="G63">
        <v>54</v>
      </c>
      <c r="H63">
        <f t="shared" si="0"/>
        <v>5.4</v>
      </c>
      <c r="I63" s="407">
        <f t="shared" si="1"/>
        <v>0.40153968253968259</v>
      </c>
      <c r="J63" s="408">
        <f t="shared" si="2"/>
        <v>6.622616291887125</v>
      </c>
      <c r="K63" s="408">
        <f t="shared" si="31"/>
        <v>8.711308145943562</v>
      </c>
      <c r="L63" s="408">
        <f t="shared" si="32"/>
        <v>2.0886918540564379</v>
      </c>
      <c r="M63" s="63">
        <f t="shared" si="3"/>
        <v>0</v>
      </c>
      <c r="N63" s="407">
        <f t="shared" si="46"/>
        <v>5.728430897357268</v>
      </c>
      <c r="O63" s="407">
        <f t="shared" si="5"/>
        <v>0.16625688532179758</v>
      </c>
      <c r="P63">
        <f t="shared" si="6"/>
        <v>0.2</v>
      </c>
      <c r="Q63" s="407">
        <f t="shared" si="34"/>
        <v>0.36625688532179757</v>
      </c>
      <c r="R63" s="9">
        <f t="shared" si="39"/>
        <v>1.9117846494303166</v>
      </c>
      <c r="S63" s="9">
        <f t="shared" si="7"/>
        <v>3.6549205457973985E-3</v>
      </c>
      <c r="T63" s="9">
        <f t="shared" si="40"/>
        <v>3.6549205457973985E-3</v>
      </c>
      <c r="U63" s="407">
        <f t="shared" si="47"/>
        <v>3.6299439084542882</v>
      </c>
      <c r="V63" s="409">
        <f t="shared" si="9"/>
        <v>2.6352985557048788E-2</v>
      </c>
      <c r="W63" s="407">
        <f t="shared" si="41"/>
        <v>2.6352985557048788E-2</v>
      </c>
      <c r="X63" s="407">
        <f t="shared" si="48"/>
        <v>3.6299439084542882</v>
      </c>
      <c r="Y63" s="407">
        <f t="shared" si="11"/>
        <v>7.905895667114636E-2</v>
      </c>
      <c r="Z63" s="407">
        <f t="shared" si="12"/>
        <v>5.6350097152478865E-2</v>
      </c>
      <c r="AA63" s="407">
        <f t="shared" si="13"/>
        <v>6.4512E-2</v>
      </c>
      <c r="AB63" s="407">
        <f t="shared" si="14"/>
        <v>0</v>
      </c>
      <c r="AC63" s="407">
        <f t="shared" si="49"/>
        <v>0.20313294963638223</v>
      </c>
      <c r="AD63" s="407">
        <f t="shared" si="50"/>
        <v>4.4315265730076581</v>
      </c>
      <c r="AE63" s="407">
        <f t="shared" si="17"/>
        <v>0.11783056660363798</v>
      </c>
      <c r="AF63" s="407">
        <f t="shared" si="18"/>
        <v>7.4649599999999997E-2</v>
      </c>
      <c r="AG63" s="407">
        <f t="shared" si="51"/>
        <v>0.19712565205847021</v>
      </c>
      <c r="AH63" s="407">
        <f t="shared" si="52"/>
        <v>0</v>
      </c>
      <c r="AI63">
        <f t="shared" si="21"/>
        <v>0</v>
      </c>
      <c r="AJ63" s="408">
        <f t="shared" si="22"/>
        <v>0.20269025279999997</v>
      </c>
      <c r="AK63">
        <f t="shared" si="23"/>
        <v>2.52E-2</v>
      </c>
      <c r="AL63" s="408">
        <f t="shared" si="24"/>
        <v>4.4160000000000005E-2</v>
      </c>
      <c r="AM63" s="408">
        <f t="shared" si="25"/>
        <v>4.9347355729984298E-2</v>
      </c>
      <c r="AN63" s="408">
        <f t="shared" si="42"/>
        <v>6.9360000000000005E-2</v>
      </c>
      <c r="AO63" s="408">
        <f t="shared" si="53"/>
        <v>1.0685736459194963</v>
      </c>
      <c r="AP63">
        <f t="shared" si="27"/>
        <v>27</v>
      </c>
      <c r="AQ63" s="10">
        <f t="shared" si="43"/>
        <v>0.96192989143661589</v>
      </c>
      <c r="AR63" s="63">
        <f t="shared" si="54"/>
        <v>10.156647481819112</v>
      </c>
      <c r="AS63" s="63">
        <f t="shared" si="44"/>
        <v>9.8562826029235104</v>
      </c>
      <c r="AT63" s="10"/>
      <c r="AU63">
        <f t="shared" si="45"/>
        <v>96.192989143661592</v>
      </c>
      <c r="BE63" s="28"/>
      <c r="BF63" s="29"/>
    </row>
    <row r="64" spans="1:60" x14ac:dyDescent="0.2">
      <c r="A64" s="117"/>
      <c r="B64" s="40"/>
      <c r="G64">
        <v>55</v>
      </c>
      <c r="H64">
        <f t="shared" si="0"/>
        <v>5.5</v>
      </c>
      <c r="I64" s="407">
        <f t="shared" si="1"/>
        <v>0.40162698412698417</v>
      </c>
      <c r="J64" s="408">
        <f t="shared" si="2"/>
        <v>6.6240561618165783</v>
      </c>
      <c r="K64" s="408">
        <f t="shared" si="31"/>
        <v>8.8120280809082896</v>
      </c>
      <c r="L64" s="408">
        <f t="shared" si="32"/>
        <v>2.1879719190917108</v>
      </c>
      <c r="M64" s="63">
        <f t="shared" si="3"/>
        <v>0</v>
      </c>
      <c r="N64" s="407">
        <f t="shared" si="46"/>
        <v>5.8229296752501094</v>
      </c>
      <c r="O64" s="407">
        <f t="shared" si="5"/>
        <v>0.17186346614817677</v>
      </c>
      <c r="P64">
        <f t="shared" si="6"/>
        <v>0.2</v>
      </c>
      <c r="Q64" s="407">
        <f t="shared" si="34"/>
        <v>0.37186346614817678</v>
      </c>
      <c r="R64" s="9">
        <f t="shared" si="39"/>
        <v>1.9122003040760005</v>
      </c>
      <c r="S64" s="9">
        <f t="shared" si="7"/>
        <v>3.6565100029083489E-3</v>
      </c>
      <c r="T64" s="9">
        <f t="shared" si="40"/>
        <v>3.6565100029083489E-3</v>
      </c>
      <c r="U64" s="407">
        <f t="shared" si="47"/>
        <v>3.6902261928965139</v>
      </c>
      <c r="V64" s="409">
        <f t="shared" si="9"/>
        <v>2.7235538709479E-2</v>
      </c>
      <c r="W64" s="407">
        <f t="shared" si="41"/>
        <v>2.7235538709479E-2</v>
      </c>
      <c r="X64" s="407">
        <f t="shared" si="48"/>
        <v>3.6902261928965139</v>
      </c>
      <c r="Y64" s="407">
        <f t="shared" si="11"/>
        <v>8.1706616128436993E-2</v>
      </c>
      <c r="Z64" s="407">
        <f t="shared" si="12"/>
        <v>5.7337790505938131E-2</v>
      </c>
      <c r="AA64" s="407">
        <f t="shared" si="13"/>
        <v>6.4512E-2</v>
      </c>
      <c r="AB64" s="407">
        <f t="shared" si="14"/>
        <v>0</v>
      </c>
      <c r="AC64" s="407">
        <f t="shared" si="49"/>
        <v>0.20693804816716768</v>
      </c>
      <c r="AD64" s="407">
        <f t="shared" si="50"/>
        <v>4.5043024596677386</v>
      </c>
      <c r="AE64" s="407">
        <f t="shared" si="17"/>
        <v>0.12173244388901304</v>
      </c>
      <c r="AF64" s="407">
        <f t="shared" si="18"/>
        <v>7.6032000000000002E-2</v>
      </c>
      <c r="AG64" s="407">
        <f t="shared" si="51"/>
        <v>0.20269946411741427</v>
      </c>
      <c r="AH64" s="407">
        <f t="shared" si="52"/>
        <v>0</v>
      </c>
      <c r="AI64">
        <f t="shared" si="21"/>
        <v>0</v>
      </c>
      <c r="AJ64" s="408">
        <f t="shared" si="22"/>
        <v>0.202680576</v>
      </c>
      <c r="AK64">
        <f t="shared" si="23"/>
        <v>2.52E-2</v>
      </c>
      <c r="AL64" s="408">
        <f t="shared" si="24"/>
        <v>4.4160000000000005E-2</v>
      </c>
      <c r="AM64" s="408">
        <f t="shared" si="25"/>
        <v>4.9347355729984298E-2</v>
      </c>
      <c r="AN64" s="408">
        <f t="shared" si="42"/>
        <v>6.9360000000000005E-2</v>
      </c>
      <c r="AO64" s="408">
        <f t="shared" si="53"/>
        <v>1.0844336031451463</v>
      </c>
      <c r="AP64">
        <f t="shared" si="27"/>
        <v>27.5</v>
      </c>
      <c r="AQ64" s="10">
        <f t="shared" si="43"/>
        <v>0.96206209231916262</v>
      </c>
      <c r="AR64" s="63">
        <f t="shared" si="54"/>
        <v>10.346902408358384</v>
      </c>
      <c r="AS64" s="63">
        <f t="shared" si="44"/>
        <v>10.134973205870713</v>
      </c>
      <c r="AT64" s="10"/>
      <c r="AU64">
        <f t="shared" si="45"/>
        <v>96.206209231916262</v>
      </c>
      <c r="BE64" s="28"/>
      <c r="BF64" s="29"/>
    </row>
    <row r="65" spans="1:58" x14ac:dyDescent="0.2">
      <c r="G65">
        <v>56</v>
      </c>
      <c r="H65">
        <f t="shared" si="0"/>
        <v>5.6000000000000005</v>
      </c>
      <c r="I65" s="407">
        <f t="shared" si="1"/>
        <v>0.40171428571428569</v>
      </c>
      <c r="J65" s="408">
        <f t="shared" si="2"/>
        <v>6.6254960317460299</v>
      </c>
      <c r="K65" s="408">
        <f t="shared" si="31"/>
        <v>8.9127480158730155</v>
      </c>
      <c r="L65" s="408">
        <f t="shared" si="32"/>
        <v>2.2872519841269856</v>
      </c>
      <c r="M65" s="63">
        <f t="shared" si="3"/>
        <v>0</v>
      </c>
      <c r="N65" s="407">
        <f t="shared" si="46"/>
        <v>5.9176092981504675</v>
      </c>
      <c r="O65" s="407">
        <f t="shared" si="5"/>
        <v>0.177577874926762</v>
      </c>
      <c r="P65">
        <f t="shared" si="6"/>
        <v>0.2</v>
      </c>
      <c r="Q65" s="407">
        <f t="shared" si="34"/>
        <v>0.37757787492676198</v>
      </c>
      <c r="R65" s="9">
        <f t="shared" si="39"/>
        <v>1.912615958721684</v>
      </c>
      <c r="S65" s="9">
        <f t="shared" si="7"/>
        <v>3.6580998055568666E-3</v>
      </c>
      <c r="T65" s="9">
        <f t="shared" si="40"/>
        <v>3.6580998055568666E-3</v>
      </c>
      <c r="U65" s="407">
        <f t="shared" si="47"/>
        <v>3.7506360727829682</v>
      </c>
      <c r="V65" s="409">
        <f t="shared" si="9"/>
        <v>2.8134541900921694E-2</v>
      </c>
      <c r="W65" s="407">
        <f t="shared" si="41"/>
        <v>2.8134541900921694E-2</v>
      </c>
      <c r="X65" s="407">
        <f t="shared" si="48"/>
        <v>3.7506360727829682</v>
      </c>
      <c r="Y65" s="407">
        <f t="shared" si="11"/>
        <v>8.4403625702765078E-2</v>
      </c>
      <c r="Z65" s="407">
        <f t="shared" si="12"/>
        <v>5.8325483859397412E-2</v>
      </c>
      <c r="AA65" s="407">
        <f t="shared" si="13"/>
        <v>6.4512E-2</v>
      </c>
      <c r="AB65" s="407">
        <f t="shared" si="14"/>
        <v>0</v>
      </c>
      <c r="AC65" s="407">
        <f t="shared" si="49"/>
        <v>0.21079955897700309</v>
      </c>
      <c r="AD65" s="407">
        <f t="shared" si="50"/>
        <v>4.5772075390019209</v>
      </c>
      <c r="AE65" s="407">
        <f t="shared" si="17"/>
        <v>0.12570497313057613</v>
      </c>
      <c r="AF65" s="407">
        <f t="shared" si="18"/>
        <v>7.7414400000000008E-2</v>
      </c>
      <c r="AG65" s="407">
        <f t="shared" si="51"/>
        <v>0.2083576927646828</v>
      </c>
      <c r="AH65" s="407">
        <f t="shared" si="52"/>
        <v>0</v>
      </c>
      <c r="AI65">
        <f t="shared" si="21"/>
        <v>0</v>
      </c>
      <c r="AJ65" s="408">
        <f t="shared" si="22"/>
        <v>0.2026708992</v>
      </c>
      <c r="AK65">
        <f t="shared" si="23"/>
        <v>2.52E-2</v>
      </c>
      <c r="AL65" s="408">
        <f t="shared" si="24"/>
        <v>4.4160000000000005E-2</v>
      </c>
      <c r="AM65" s="408">
        <f t="shared" si="25"/>
        <v>4.9347355729984298E-2</v>
      </c>
      <c r="AN65" s="408">
        <f t="shared" si="42"/>
        <v>6.9360000000000005E-2</v>
      </c>
      <c r="AO65" s="408">
        <f t="shared" si="53"/>
        <v>1.1005586675749266</v>
      </c>
      <c r="AP65">
        <f t="shared" si="27"/>
        <v>28.000000000000004</v>
      </c>
      <c r="AQ65" s="10">
        <f t="shared" si="43"/>
        <v>0.96218084057605346</v>
      </c>
      <c r="AR65" s="63">
        <f t="shared" si="54"/>
        <v>10.539977948850154</v>
      </c>
      <c r="AS65" s="63">
        <f t="shared" si="44"/>
        <v>10.41788463823414</v>
      </c>
      <c r="AT65" s="10"/>
      <c r="AU65">
        <f t="shared" si="45"/>
        <v>96.218084057605353</v>
      </c>
      <c r="BE65" s="28"/>
      <c r="BF65" s="29"/>
    </row>
    <row r="66" spans="1:58" x14ac:dyDescent="0.2">
      <c r="A66" s="12" t="s">
        <v>149</v>
      </c>
      <c r="B66" s="41"/>
      <c r="C66" s="41"/>
      <c r="G66">
        <v>57</v>
      </c>
      <c r="H66">
        <f t="shared" si="0"/>
        <v>5.6999999999999993</v>
      </c>
      <c r="I66" s="407">
        <f t="shared" si="1"/>
        <v>0.40180158730158733</v>
      </c>
      <c r="J66" s="408">
        <f t="shared" si="2"/>
        <v>6.6269359016754841</v>
      </c>
      <c r="K66" s="408">
        <f t="shared" si="31"/>
        <v>9.0134679508377413</v>
      </c>
      <c r="L66" s="408">
        <f t="shared" si="32"/>
        <v>2.3865320491622573</v>
      </c>
      <c r="M66" s="63">
        <f t="shared" si="3"/>
        <v>0</v>
      </c>
      <c r="N66" s="407">
        <f t="shared" si="46"/>
        <v>6.0124612226394403</v>
      </c>
      <c r="O66" s="407">
        <f t="shared" si="5"/>
        <v>0.18340039676083381</v>
      </c>
      <c r="P66">
        <f t="shared" si="6"/>
        <v>0.2</v>
      </c>
      <c r="Q66" s="407">
        <f t="shared" si="34"/>
        <v>0.38340039676083382</v>
      </c>
      <c r="R66" s="9">
        <f t="shared" si="39"/>
        <v>1.9130316133673682</v>
      </c>
      <c r="S66" s="9">
        <f t="shared" si="7"/>
        <v>3.6596899537429555E-3</v>
      </c>
      <c r="T66" s="9">
        <f t="shared" si="40"/>
        <v>3.6596899537429555E-3</v>
      </c>
      <c r="U66" s="407">
        <f t="shared" si="47"/>
        <v>3.8111681678816227</v>
      </c>
      <c r="V66" s="409">
        <f t="shared" si="9"/>
        <v>2.9050005607748328E-2</v>
      </c>
      <c r="W66" s="407">
        <f t="shared" si="41"/>
        <v>2.9050005607748328E-2</v>
      </c>
      <c r="X66" s="407">
        <f t="shared" si="48"/>
        <v>3.8111681678816227</v>
      </c>
      <c r="Y66" s="407">
        <f t="shared" si="11"/>
        <v>8.7150016823244983E-2</v>
      </c>
      <c r="Z66" s="407">
        <f t="shared" si="12"/>
        <v>5.9313177212856664E-2</v>
      </c>
      <c r="AA66" s="407">
        <f t="shared" si="13"/>
        <v>6.4512E-2</v>
      </c>
      <c r="AB66" s="407">
        <f t="shared" si="14"/>
        <v>0</v>
      </c>
      <c r="AC66" s="407">
        <f t="shared" si="49"/>
        <v>0.21471772470007369</v>
      </c>
      <c r="AD66" s="407">
        <f t="shared" si="50"/>
        <v>4.650235171458406</v>
      </c>
      <c r="AE66" s="407">
        <f t="shared" si="17"/>
        <v>0.12974812289921275</v>
      </c>
      <c r="AF66" s="407">
        <f t="shared" si="18"/>
        <v>7.8796799999999986E-2</v>
      </c>
      <c r="AG66" s="407">
        <f t="shared" si="51"/>
        <v>0.21410075717003516</v>
      </c>
      <c r="AH66" s="407">
        <f t="shared" si="52"/>
        <v>0</v>
      </c>
      <c r="AI66">
        <f t="shared" si="21"/>
        <v>0</v>
      </c>
      <c r="AJ66" s="408">
        <f t="shared" si="22"/>
        <v>0.20266122239999998</v>
      </c>
      <c r="AK66">
        <f t="shared" si="23"/>
        <v>2.52E-2</v>
      </c>
      <c r="AL66" s="408">
        <f t="shared" si="24"/>
        <v>4.4160000000000005E-2</v>
      </c>
      <c r="AM66" s="408">
        <f t="shared" si="25"/>
        <v>4.9347355729984298E-2</v>
      </c>
      <c r="AN66" s="408">
        <f t="shared" si="42"/>
        <v>6.9360000000000005E-2</v>
      </c>
      <c r="AO66" s="408">
        <f t="shared" si="53"/>
        <v>1.116949796592434</v>
      </c>
      <c r="AP66">
        <f t="shared" si="27"/>
        <v>28.499999999999996</v>
      </c>
      <c r="AQ66" s="10">
        <f t="shared" si="43"/>
        <v>0.96228680521581111</v>
      </c>
      <c r="AR66" s="63">
        <f t="shared" si="54"/>
        <v>10.735886235003685</v>
      </c>
      <c r="AS66" s="63">
        <f t="shared" si="44"/>
        <v>10.705037858501758</v>
      </c>
      <c r="AT66" s="10"/>
      <c r="AU66">
        <f t="shared" si="45"/>
        <v>96.228680521581111</v>
      </c>
      <c r="BE66" s="28"/>
      <c r="BF66" s="29"/>
    </row>
    <row r="67" spans="1:58" x14ac:dyDescent="0.2">
      <c r="A67" s="24" t="s">
        <v>125</v>
      </c>
      <c r="B67" s="25" t="s">
        <v>8</v>
      </c>
      <c r="C67" s="25" t="s">
        <v>148</v>
      </c>
      <c r="G67">
        <v>58</v>
      </c>
      <c r="H67">
        <f t="shared" si="0"/>
        <v>5.8</v>
      </c>
      <c r="I67" s="407">
        <f t="shared" si="1"/>
        <v>0.40188888888888885</v>
      </c>
      <c r="J67" s="408">
        <f t="shared" si="2"/>
        <v>6.6283757716049365</v>
      </c>
      <c r="K67" s="408">
        <f t="shared" si="31"/>
        <v>9.114187885802469</v>
      </c>
      <c r="L67" s="408">
        <f t="shared" si="32"/>
        <v>2.4858121141975316</v>
      </c>
      <c r="M67" s="63">
        <f t="shared" si="3"/>
        <v>0</v>
      </c>
      <c r="N67" s="407">
        <f t="shared" si="46"/>
        <v>6.1074774209543019</v>
      </c>
      <c r="O67" s="407">
        <f t="shared" si="5"/>
        <v>0.18933132254117227</v>
      </c>
      <c r="P67">
        <f t="shared" si="6"/>
        <v>0.2</v>
      </c>
      <c r="Q67" s="407">
        <f t="shared" si="34"/>
        <v>0.38933132254117231</v>
      </c>
      <c r="R67" s="9">
        <f t="shared" si="39"/>
        <v>1.9134472680130519</v>
      </c>
      <c r="S67" s="9">
        <f t="shared" si="7"/>
        <v>3.6612804474666118E-3</v>
      </c>
      <c r="T67" s="9">
        <f t="shared" si="40"/>
        <v>3.6612804474666118E-3</v>
      </c>
      <c r="U67" s="407">
        <f t="shared" si="47"/>
        <v>3.8718174224987925</v>
      </c>
      <c r="V67" s="409">
        <f t="shared" si="9"/>
        <v>2.9981940306330387E-2</v>
      </c>
      <c r="W67" s="407">
        <f t="shared" si="41"/>
        <v>2.9981940306330387E-2</v>
      </c>
      <c r="X67" s="407">
        <f t="shared" si="48"/>
        <v>3.8718174224987925</v>
      </c>
      <c r="Y67" s="407">
        <f t="shared" si="11"/>
        <v>8.9945820918991157E-2</v>
      </c>
      <c r="Z67" s="407">
        <f t="shared" si="12"/>
        <v>6.0300870566315952E-2</v>
      </c>
      <c r="AA67" s="407">
        <f t="shared" si="13"/>
        <v>6.4512E-2</v>
      </c>
      <c r="AB67" s="407">
        <f t="shared" si="14"/>
        <v>0</v>
      </c>
      <c r="AC67" s="407">
        <f t="shared" si="49"/>
        <v>0.21869279202689215</v>
      </c>
      <c r="AD67" s="407">
        <f t="shared" si="50"/>
        <v>4.723379118205675</v>
      </c>
      <c r="AE67" s="407">
        <f t="shared" si="17"/>
        <v>0.13386186176580853</v>
      </c>
      <c r="AF67" s="407">
        <f t="shared" si="18"/>
        <v>8.0179200000000006E-2</v>
      </c>
      <c r="AG67" s="407">
        <f t="shared" si="51"/>
        <v>0.2199290851240395</v>
      </c>
      <c r="AH67" s="407">
        <f t="shared" si="52"/>
        <v>0</v>
      </c>
      <c r="AI67">
        <f t="shared" si="21"/>
        <v>0</v>
      </c>
      <c r="AJ67" s="408">
        <f t="shared" si="22"/>
        <v>0.20265154559999998</v>
      </c>
      <c r="AK67">
        <f t="shared" si="23"/>
        <v>2.52E-2</v>
      </c>
      <c r="AL67" s="408">
        <f t="shared" si="24"/>
        <v>4.4160000000000005E-2</v>
      </c>
      <c r="AM67" s="408">
        <f t="shared" si="25"/>
        <v>4.9347355729984298E-2</v>
      </c>
      <c r="AN67" s="408">
        <f t="shared" si="42"/>
        <v>6.9360000000000005E-2</v>
      </c>
      <c r="AO67" s="408">
        <f t="shared" si="53"/>
        <v>1.1336079660459011</v>
      </c>
      <c r="AP67">
        <f t="shared" si="27"/>
        <v>29</v>
      </c>
      <c r="AQ67" s="10">
        <f t="shared" si="43"/>
        <v>0.96238060947354087</v>
      </c>
      <c r="AR67" s="63">
        <f t="shared" si="54"/>
        <v>10.934639601344607</v>
      </c>
      <c r="AS67" s="63">
        <f t="shared" si="44"/>
        <v>10.996454256201975</v>
      </c>
      <c r="AT67" s="10"/>
      <c r="AU67">
        <f t="shared" si="45"/>
        <v>96.238060947354086</v>
      </c>
      <c r="BE67" s="28"/>
      <c r="BF67" s="29"/>
    </row>
    <row r="68" spans="1:58" x14ac:dyDescent="0.2">
      <c r="A68" s="42" t="s">
        <v>386</v>
      </c>
      <c r="B68" s="410">
        <f>I109</f>
        <v>0.4055555555555555</v>
      </c>
      <c r="C68" s="31" t="s">
        <v>23</v>
      </c>
      <c r="G68">
        <v>59</v>
      </c>
      <c r="H68">
        <f t="shared" si="0"/>
        <v>5.8999999999999995</v>
      </c>
      <c r="I68" s="407">
        <f t="shared" si="1"/>
        <v>0.40197619047619049</v>
      </c>
      <c r="J68" s="408">
        <f t="shared" si="2"/>
        <v>6.6298156415343907</v>
      </c>
      <c r="K68" s="408">
        <f t="shared" si="31"/>
        <v>9.2149078207671948</v>
      </c>
      <c r="L68" s="408">
        <f t="shared" si="32"/>
        <v>2.5850921792328041</v>
      </c>
      <c r="M68" s="63">
        <f t="shared" si="3"/>
        <v>0</v>
      </c>
      <c r="N68" s="407">
        <f t="shared" si="46"/>
        <v>6.2026503437424099</v>
      </c>
      <c r="O68" s="407">
        <f t="shared" si="5"/>
        <v>0.19537094898299465</v>
      </c>
      <c r="P68">
        <f t="shared" si="6"/>
        <v>0.2</v>
      </c>
      <c r="Q68" s="407">
        <f t="shared" si="34"/>
        <v>0.39537094898299463</v>
      </c>
      <c r="R68" s="9">
        <f t="shared" si="39"/>
        <v>1.913862922658736</v>
      </c>
      <c r="S68" s="9">
        <f t="shared" si="7"/>
        <v>3.6628712867278392E-3</v>
      </c>
      <c r="T68" s="9">
        <f t="shared" si="40"/>
        <v>3.6628712867278392E-3</v>
      </c>
      <c r="U68" s="407">
        <f t="shared" si="47"/>
        <v>3.9325790820426829</v>
      </c>
      <c r="V68" s="409">
        <f t="shared" si="9"/>
        <v>3.0930356473039343E-2</v>
      </c>
      <c r="W68" s="407">
        <f t="shared" si="41"/>
        <v>3.0930356473039343E-2</v>
      </c>
      <c r="X68" s="407">
        <f t="shared" si="48"/>
        <v>3.9325790820426829</v>
      </c>
      <c r="Y68" s="407">
        <f t="shared" si="11"/>
        <v>9.2791069419118036E-2</v>
      </c>
      <c r="Z68" s="407">
        <f t="shared" si="12"/>
        <v>6.1288563919775205E-2</v>
      </c>
      <c r="AA68" s="407">
        <f t="shared" si="13"/>
        <v>6.4512E-2</v>
      </c>
      <c r="AB68" s="407">
        <f t="shared" si="14"/>
        <v>0</v>
      </c>
      <c r="AC68" s="407">
        <f t="shared" si="49"/>
        <v>0.22272501174411771</v>
      </c>
      <c r="AD68" s="407">
        <f t="shared" si="50"/>
        <v>4.7966335121841617</v>
      </c>
      <c r="AE68" s="407">
        <f t="shared" si="17"/>
        <v>0.138046158301249</v>
      </c>
      <c r="AF68" s="407">
        <f t="shared" si="18"/>
        <v>8.1561599999999984E-2</v>
      </c>
      <c r="AG68" s="407">
        <f t="shared" si="51"/>
        <v>0.22584311313054212</v>
      </c>
      <c r="AH68" s="407">
        <f t="shared" si="52"/>
        <v>0</v>
      </c>
      <c r="AI68">
        <f t="shared" si="21"/>
        <v>0</v>
      </c>
      <c r="AJ68" s="408">
        <f t="shared" si="22"/>
        <v>0.20264186880000001</v>
      </c>
      <c r="AK68">
        <f t="shared" si="23"/>
        <v>2.52E-2</v>
      </c>
      <c r="AL68" s="408">
        <f t="shared" si="24"/>
        <v>4.4160000000000005E-2</v>
      </c>
      <c r="AM68" s="408">
        <f t="shared" si="25"/>
        <v>4.9347355729984298E-2</v>
      </c>
      <c r="AN68" s="408">
        <f t="shared" si="42"/>
        <v>6.9360000000000005E-2</v>
      </c>
      <c r="AO68" s="408">
        <f t="shared" si="53"/>
        <v>1.1505341704174217</v>
      </c>
      <c r="AP68">
        <f t="shared" si="27"/>
        <v>29.499999999999996</v>
      </c>
      <c r="AQ68" s="10">
        <f t="shared" si="43"/>
        <v>0.96246283461095861</v>
      </c>
      <c r="AR68" s="63">
        <f t="shared" si="54"/>
        <v>11.136250587205886</v>
      </c>
      <c r="AS68" s="63">
        <f t="shared" si="44"/>
        <v>11.292155656527106</v>
      </c>
      <c r="AT68" s="10"/>
      <c r="AU68">
        <f t="shared" si="45"/>
        <v>96.246283461095857</v>
      </c>
      <c r="BE68" s="28"/>
      <c r="BF68" s="29"/>
    </row>
    <row r="69" spans="1:58" x14ac:dyDescent="0.2">
      <c r="A69" s="33" t="s">
        <v>151</v>
      </c>
      <c r="B69" s="410">
        <f>1-B68</f>
        <v>0.59444444444444455</v>
      </c>
      <c r="C69" s="31" t="s">
        <v>23</v>
      </c>
      <c r="G69">
        <v>60</v>
      </c>
      <c r="H69">
        <f t="shared" si="0"/>
        <v>6</v>
      </c>
      <c r="I69" s="407">
        <f t="shared" si="1"/>
        <v>0.40206349206349207</v>
      </c>
      <c r="J69" s="408">
        <f t="shared" si="2"/>
        <v>6.6312555114638441</v>
      </c>
      <c r="K69" s="408">
        <f t="shared" si="31"/>
        <v>9.3156277557319225</v>
      </c>
      <c r="L69" s="408">
        <f t="shared" si="32"/>
        <v>2.684372244268078</v>
      </c>
      <c r="M69" s="63">
        <f t="shared" si="3"/>
        <v>0</v>
      </c>
      <c r="N69" s="407">
        <f t="shared" si="46"/>
        <v>6.2979728858996076</v>
      </c>
      <c r="O69" s="407">
        <f t="shared" si="5"/>
        <v>0.20151957866370696</v>
      </c>
      <c r="P69">
        <f t="shared" si="6"/>
        <v>0.2</v>
      </c>
      <c r="Q69" s="407">
        <f t="shared" si="34"/>
        <v>0.40151957866370697</v>
      </c>
      <c r="R69" s="9">
        <f t="shared" si="39"/>
        <v>1.91427857730442</v>
      </c>
      <c r="S69" s="9">
        <f t="shared" si="7"/>
        <v>3.664462471526634E-3</v>
      </c>
      <c r="T69" s="9">
        <f t="shared" si="40"/>
        <v>3.664462471526634E-3</v>
      </c>
      <c r="U69" s="407">
        <f t="shared" si="47"/>
        <v>3.9934486715273212</v>
      </c>
      <c r="V69" s="409">
        <f t="shared" si="9"/>
        <v>3.1895264584246658E-2</v>
      </c>
      <c r="W69" s="407">
        <f t="shared" si="41"/>
        <v>3.1895264584246658E-2</v>
      </c>
      <c r="X69" s="407">
        <f t="shared" si="48"/>
        <v>3.9934486715273212</v>
      </c>
      <c r="Y69" s="407">
        <f t="shared" si="11"/>
        <v>9.5685793752739959E-2</v>
      </c>
      <c r="Z69" s="407">
        <f t="shared" si="12"/>
        <v>6.2276257273234478E-2</v>
      </c>
      <c r="AA69" s="407">
        <f t="shared" si="13"/>
        <v>6.4512E-2</v>
      </c>
      <c r="AB69" s="407">
        <f t="shared" si="14"/>
        <v>0</v>
      </c>
      <c r="AC69" s="407">
        <f t="shared" si="49"/>
        <v>0.22681463877516295</v>
      </c>
      <c r="AD69" s="407">
        <f t="shared" si="50"/>
        <v>4.8699928315556384</v>
      </c>
      <c r="AE69" s="407">
        <f t="shared" si="17"/>
        <v>0.14230098107641984</v>
      </c>
      <c r="AF69" s="407">
        <f t="shared" si="18"/>
        <v>8.294399999999999E-2</v>
      </c>
      <c r="AG69" s="407">
        <f t="shared" si="51"/>
        <v>0.23184328650144731</v>
      </c>
      <c r="AH69" s="407">
        <f t="shared" si="52"/>
        <v>0</v>
      </c>
      <c r="AI69">
        <f t="shared" si="21"/>
        <v>0</v>
      </c>
      <c r="AJ69" s="408">
        <f t="shared" si="22"/>
        <v>0.20263219199999999</v>
      </c>
      <c r="AK69">
        <f t="shared" si="23"/>
        <v>2.52E-2</v>
      </c>
      <c r="AL69" s="408">
        <f t="shared" si="24"/>
        <v>4.4160000000000005E-2</v>
      </c>
      <c r="AM69" s="408">
        <f t="shared" si="25"/>
        <v>4.9347355729984298E-2</v>
      </c>
      <c r="AN69" s="408">
        <f t="shared" si="42"/>
        <v>6.9360000000000005E-2</v>
      </c>
      <c r="AO69" s="408">
        <f t="shared" si="53"/>
        <v>1.1677294229960906</v>
      </c>
      <c r="AP69">
        <f t="shared" si="27"/>
        <v>30</v>
      </c>
      <c r="AQ69" s="10">
        <f t="shared" si="43"/>
        <v>0.96253402334356386</v>
      </c>
      <c r="AR69" s="63">
        <f t="shared" si="54"/>
        <v>11.340731938758147</v>
      </c>
      <c r="AS69" s="63">
        <f t="shared" si="44"/>
        <v>11.592164325072366</v>
      </c>
      <c r="AT69" s="10"/>
      <c r="AU69">
        <f t="shared" si="45"/>
        <v>96.25340233435638</v>
      </c>
      <c r="BE69" s="28"/>
      <c r="BF69" s="29"/>
    </row>
    <row r="70" spans="1:58" x14ac:dyDescent="0.2">
      <c r="A70" s="43" t="s">
        <v>387</v>
      </c>
      <c r="B70" s="410">
        <f>Ipp</f>
        <v>0.59444444444444455</v>
      </c>
      <c r="C70" s="31" t="s">
        <v>2</v>
      </c>
      <c r="G70">
        <v>61</v>
      </c>
      <c r="H70">
        <f t="shared" si="0"/>
        <v>6.1</v>
      </c>
      <c r="I70" s="407">
        <f t="shared" si="1"/>
        <v>0.40215079365079365</v>
      </c>
      <c r="J70" s="408">
        <f t="shared" si="2"/>
        <v>6.6326953813932974</v>
      </c>
      <c r="K70" s="408">
        <f t="shared" si="31"/>
        <v>9.4163476906966483</v>
      </c>
      <c r="L70" s="408">
        <f t="shared" si="32"/>
        <v>2.7836523093033509</v>
      </c>
      <c r="M70" s="63">
        <f t="shared" si="3"/>
        <v>0</v>
      </c>
      <c r="N70" s="407">
        <f t="shared" si="46"/>
        <v>6.3934383552094243</v>
      </c>
      <c r="O70" s="407">
        <f t="shared" si="5"/>
        <v>0.20777752006147737</v>
      </c>
      <c r="P70">
        <f t="shared" si="6"/>
        <v>0.2</v>
      </c>
      <c r="Q70" s="407">
        <f t="shared" si="34"/>
        <v>0.40777752006147738</v>
      </c>
      <c r="R70" s="9">
        <f t="shared" si="39"/>
        <v>1.9146942319501039</v>
      </c>
      <c r="S70" s="9">
        <f t="shared" si="7"/>
        <v>3.6660540018629982E-3</v>
      </c>
      <c r="T70" s="9">
        <f t="shared" si="40"/>
        <v>3.6660540018629982E-3</v>
      </c>
      <c r="U70" s="407">
        <f t="shared" si="47"/>
        <v>4.0544219758384674</v>
      </c>
      <c r="V70" s="409">
        <f t="shared" si="9"/>
        <v>3.2876675116323806E-2</v>
      </c>
      <c r="W70" s="407">
        <f t="shared" si="41"/>
        <v>3.2876675116323806E-2</v>
      </c>
      <c r="X70" s="407">
        <f t="shared" si="48"/>
        <v>4.0544219758384674</v>
      </c>
      <c r="Y70" s="407">
        <f t="shared" si="11"/>
        <v>9.8630025348971403E-2</v>
      </c>
      <c r="Z70" s="407">
        <f t="shared" si="12"/>
        <v>6.3263950626693738E-2</v>
      </c>
      <c r="AA70" s="407">
        <f t="shared" si="13"/>
        <v>6.4512E-2</v>
      </c>
      <c r="AB70" s="407">
        <f t="shared" si="14"/>
        <v>0</v>
      </c>
      <c r="AC70" s="407">
        <f t="shared" si="49"/>
        <v>0.23096193222159786</v>
      </c>
      <c r="AD70" s="407">
        <f t="shared" si="50"/>
        <v>4.9434518753297363</v>
      </c>
      <c r="AE70" s="407">
        <f t="shared" si="17"/>
        <v>0.14662629866220653</v>
      </c>
      <c r="AF70" s="407">
        <f t="shared" si="18"/>
        <v>8.4326399999999996E-2</v>
      </c>
      <c r="AG70" s="407">
        <f t="shared" si="51"/>
        <v>0.23793005945384574</v>
      </c>
      <c r="AH70" s="407">
        <f t="shared" si="52"/>
        <v>0</v>
      </c>
      <c r="AI70">
        <f t="shared" si="21"/>
        <v>0</v>
      </c>
      <c r="AJ70" s="408">
        <f t="shared" si="22"/>
        <v>0.20262251519999999</v>
      </c>
      <c r="AK70">
        <f t="shared" si="23"/>
        <v>2.52E-2</v>
      </c>
      <c r="AL70" s="408">
        <f t="shared" si="24"/>
        <v>4.4160000000000005E-2</v>
      </c>
      <c r="AM70" s="408">
        <f t="shared" si="25"/>
        <v>4.9347355729984298E-2</v>
      </c>
      <c r="AN70" s="408">
        <f t="shared" si="42"/>
        <v>6.9360000000000005E-2</v>
      </c>
      <c r="AO70" s="408">
        <f t="shared" si="53"/>
        <v>1.1851947560551079</v>
      </c>
      <c r="AP70">
        <f t="shared" si="27"/>
        <v>30.5</v>
      </c>
      <c r="AQ70" s="10">
        <f t="shared" si="43"/>
        <v>0.96259468293693806</v>
      </c>
      <c r="AR70" s="63">
        <f t="shared" si="54"/>
        <v>11.548096611079893</v>
      </c>
      <c r="AS70" s="63">
        <f t="shared" si="44"/>
        <v>11.896502972692288</v>
      </c>
      <c r="AT70" s="10"/>
      <c r="AU70">
        <f t="shared" si="45"/>
        <v>96.2594682936938</v>
      </c>
      <c r="BE70" s="28"/>
      <c r="BF70" s="29"/>
    </row>
    <row r="71" spans="1:58" x14ac:dyDescent="0.2">
      <c r="A71" s="24" t="s">
        <v>129</v>
      </c>
      <c r="B71" s="25" t="s">
        <v>8</v>
      </c>
      <c r="C71" s="27" t="s">
        <v>148</v>
      </c>
      <c r="G71">
        <v>62</v>
      </c>
      <c r="H71">
        <f t="shared" si="0"/>
        <v>6.2</v>
      </c>
      <c r="I71" s="407">
        <f t="shared" si="1"/>
        <v>0.40223809523809523</v>
      </c>
      <c r="J71" s="408">
        <f t="shared" si="2"/>
        <v>6.6341352513227507</v>
      </c>
      <c r="K71" s="408">
        <f t="shared" si="31"/>
        <v>9.517067625661376</v>
      </c>
      <c r="L71" s="408">
        <f t="shared" si="32"/>
        <v>2.8829323743386248</v>
      </c>
      <c r="M71" s="63">
        <f t="shared" si="3"/>
        <v>0</v>
      </c>
      <c r="N71" s="407">
        <f t="shared" si="46"/>
        <v>6.489040443527605</v>
      </c>
      <c r="O71" s="407">
        <f t="shared" si="5"/>
        <v>0.21414508759464154</v>
      </c>
      <c r="P71">
        <f t="shared" si="6"/>
        <v>0.2</v>
      </c>
      <c r="Q71" s="407">
        <f t="shared" si="34"/>
        <v>0.41414508759464153</v>
      </c>
      <c r="R71" s="9">
        <f t="shared" si="39"/>
        <v>1.9151098865957881</v>
      </c>
      <c r="S71" s="9">
        <f t="shared" si="7"/>
        <v>3.6676458777369324E-3</v>
      </c>
      <c r="T71" s="9">
        <f t="shared" si="40"/>
        <v>3.6676458777369324E-3</v>
      </c>
      <c r="U71" s="407">
        <f t="shared" si="47"/>
        <v>4.1154950216008199</v>
      </c>
      <c r="V71" s="409">
        <f t="shared" si="9"/>
        <v>3.3874598545642266E-2</v>
      </c>
      <c r="W71" s="407">
        <f t="shared" si="41"/>
        <v>3.3874598545642266E-2</v>
      </c>
      <c r="X71" s="407">
        <f t="shared" si="48"/>
        <v>4.1154950216008199</v>
      </c>
      <c r="Y71" s="407">
        <f t="shared" si="11"/>
        <v>0.10162379563692679</v>
      </c>
      <c r="Z71" s="407">
        <f t="shared" si="12"/>
        <v>6.4251643980153025E-2</v>
      </c>
      <c r="AA71" s="407">
        <f t="shared" si="13"/>
        <v>6.4512E-2</v>
      </c>
      <c r="AB71" s="407">
        <f t="shared" si="14"/>
        <v>0</v>
      </c>
      <c r="AC71" s="407">
        <f t="shared" si="49"/>
        <v>0.23516715540536628</v>
      </c>
      <c r="AD71" s="407">
        <f t="shared" si="50"/>
        <v>5.0170057409689894</v>
      </c>
      <c r="AE71" s="407">
        <f t="shared" si="17"/>
        <v>0.15102207962949479</v>
      </c>
      <c r="AF71" s="407">
        <f t="shared" si="18"/>
        <v>8.5708800000000002E-2</v>
      </c>
      <c r="AG71" s="407">
        <f t="shared" si="51"/>
        <v>0.24410389520953565</v>
      </c>
      <c r="AH71" s="407">
        <f t="shared" si="52"/>
        <v>0</v>
      </c>
      <c r="AI71">
        <f t="shared" si="21"/>
        <v>0</v>
      </c>
      <c r="AJ71" s="408">
        <f t="shared" si="22"/>
        <v>0.20261283839999999</v>
      </c>
      <c r="AK71">
        <f t="shared" si="23"/>
        <v>2.52E-2</v>
      </c>
      <c r="AL71" s="408">
        <f t="shared" si="24"/>
        <v>4.4160000000000005E-2</v>
      </c>
      <c r="AM71" s="408">
        <f t="shared" si="25"/>
        <v>4.9347355729984298E-2</v>
      </c>
      <c r="AN71" s="408">
        <f t="shared" si="42"/>
        <v>6.9360000000000005E-2</v>
      </c>
      <c r="AO71" s="408">
        <f t="shared" si="53"/>
        <v>1.2029312210329228</v>
      </c>
      <c r="AP71">
        <f t="shared" si="27"/>
        <v>31</v>
      </c>
      <c r="AQ71" s="10">
        <f t="shared" si="43"/>
        <v>0.96264528800883686</v>
      </c>
      <c r="AR71" s="63">
        <f t="shared" si="54"/>
        <v>11.758357770268315</v>
      </c>
      <c r="AS71" s="63">
        <f t="shared" si="44"/>
        <v>12.205194760476783</v>
      </c>
      <c r="AT71" s="10"/>
      <c r="AU71">
        <f t="shared" si="45"/>
        <v>96.264528800883681</v>
      </c>
      <c r="BE71" s="28"/>
      <c r="BF71" s="29"/>
    </row>
    <row r="72" spans="1:58" x14ac:dyDescent="0.2">
      <c r="A72" s="42" t="s">
        <v>166</v>
      </c>
      <c r="B72" s="410">
        <f>(QgdTop+QgsTop/2)*(RdsonDRT+RGateTop)/(Vdd-VspTop)*1000000000</f>
        <v>2.7743902439024386</v>
      </c>
      <c r="C72" s="31" t="s">
        <v>147</v>
      </c>
      <c r="G72">
        <v>63</v>
      </c>
      <c r="H72">
        <f t="shared" si="0"/>
        <v>6.3</v>
      </c>
      <c r="I72" s="407">
        <f t="shared" si="1"/>
        <v>0.40232539682539686</v>
      </c>
      <c r="J72" s="408">
        <f t="shared" si="2"/>
        <v>6.6355751212522041</v>
      </c>
      <c r="K72" s="408">
        <f t="shared" si="31"/>
        <v>9.6177875606261019</v>
      </c>
      <c r="L72" s="408">
        <f t="shared" si="32"/>
        <v>2.9822124393738978</v>
      </c>
      <c r="M72" s="63">
        <f t="shared" si="3"/>
        <v>0</v>
      </c>
      <c r="N72" s="407">
        <f t="shared" si="46"/>
        <v>6.5847732002817247</v>
      </c>
      <c r="O72" s="407">
        <f t="shared" si="5"/>
        <v>0.22062260166194775</v>
      </c>
      <c r="P72">
        <f t="shared" si="6"/>
        <v>0.2</v>
      </c>
      <c r="Q72" s="407">
        <f t="shared" si="34"/>
        <v>0.42062260166194776</v>
      </c>
      <c r="R72" s="9">
        <f t="shared" si="39"/>
        <v>1.915525541241472</v>
      </c>
      <c r="S72" s="9">
        <f t="shared" si="7"/>
        <v>3.6692380991484343E-3</v>
      </c>
      <c r="T72" s="9">
        <f t="shared" si="40"/>
        <v>3.6692380991484343E-3</v>
      </c>
      <c r="U72" s="407">
        <f t="shared" si="47"/>
        <v>4.1766640605017251</v>
      </c>
      <c r="V72" s="409">
        <f t="shared" si="9"/>
        <v>3.4889045348573518E-2</v>
      </c>
      <c r="W72" s="407">
        <f t="shared" si="41"/>
        <v>3.4889045348573518E-2</v>
      </c>
      <c r="X72" s="407">
        <f t="shared" si="48"/>
        <v>4.1766640605017251</v>
      </c>
      <c r="Y72" s="407">
        <f t="shared" si="11"/>
        <v>0.10466713604572056</v>
      </c>
      <c r="Z72" s="407">
        <f t="shared" si="12"/>
        <v>6.5239337333612285E-2</v>
      </c>
      <c r="AA72" s="407">
        <f t="shared" si="13"/>
        <v>6.4512E-2</v>
      </c>
      <c r="AB72" s="407">
        <f t="shared" si="14"/>
        <v>0</v>
      </c>
      <c r="AC72" s="407">
        <f t="shared" si="49"/>
        <v>0.23943057591182651</v>
      </c>
      <c r="AD72" s="407">
        <f t="shared" si="50"/>
        <v>5.0906498037933892</v>
      </c>
      <c r="AE72" s="407">
        <f t="shared" si="17"/>
        <v>0.15548829254917004</v>
      </c>
      <c r="AF72" s="407">
        <f t="shared" si="18"/>
        <v>8.7091199999999994E-2</v>
      </c>
      <c r="AG72" s="407">
        <f t="shared" si="51"/>
        <v>0.25036526609697757</v>
      </c>
      <c r="AH72" s="407">
        <f t="shared" si="52"/>
        <v>0</v>
      </c>
      <c r="AI72">
        <f t="shared" si="21"/>
        <v>0</v>
      </c>
      <c r="AJ72" s="408">
        <f t="shared" si="22"/>
        <v>0.20260316159999997</v>
      </c>
      <c r="AK72">
        <f t="shared" si="23"/>
        <v>2.52E-2</v>
      </c>
      <c r="AL72" s="408">
        <f t="shared" si="24"/>
        <v>4.4160000000000005E-2</v>
      </c>
      <c r="AM72" s="408">
        <f t="shared" si="25"/>
        <v>4.9347355729984298E-2</v>
      </c>
      <c r="AN72" s="408">
        <f t="shared" si="42"/>
        <v>6.9360000000000005E-2</v>
      </c>
      <c r="AO72" s="408">
        <f t="shared" si="53"/>
        <v>1.2209398887184737</v>
      </c>
      <c r="AP72">
        <f t="shared" si="27"/>
        <v>31.5</v>
      </c>
      <c r="AQ72" s="10">
        <f t="shared" si="43"/>
        <v>0.96268628306916604</v>
      </c>
      <c r="AR72" s="63">
        <f t="shared" si="54"/>
        <v>11.971528795591325</v>
      </c>
      <c r="AS72" s="63">
        <f t="shared" si="44"/>
        <v>12.518263304848878</v>
      </c>
      <c r="AT72" s="10"/>
      <c r="AU72">
        <f t="shared" si="45"/>
        <v>96.268628306916611</v>
      </c>
      <c r="BE72" s="28"/>
      <c r="BF72" s="29"/>
    </row>
    <row r="73" spans="1:58" x14ac:dyDescent="0.2">
      <c r="A73" s="43" t="s">
        <v>167</v>
      </c>
      <c r="B73" s="410">
        <f>(QgdTop+QgsTop/2)*(RdsonDRT+RGateTop)/(VspTop)*1000000000</f>
        <v>3.3455882352941169</v>
      </c>
      <c r="C73" s="31" t="s">
        <v>147</v>
      </c>
      <c r="G73">
        <v>64</v>
      </c>
      <c r="H73">
        <f t="shared" ref="H73:H136" si="55">Iout*(G73/200)</f>
        <v>6.4</v>
      </c>
      <c r="I73" s="407">
        <f t="shared" si="1"/>
        <v>0.40241269841269844</v>
      </c>
      <c r="J73" s="408">
        <f t="shared" ref="J73:J136" si="56">(Vin-Vout)*I73/(Fsw*Lout2)</f>
        <v>6.6370149911816574</v>
      </c>
      <c r="K73" s="408">
        <f t="shared" si="31"/>
        <v>9.7185074955908295</v>
      </c>
      <c r="L73" s="408">
        <f t="shared" si="32"/>
        <v>3.0814925044091717</v>
      </c>
      <c r="M73" s="63">
        <f t="shared" ref="M73:M136" si="57">IF(MIN(Vin, -L73/(CossTop+CossBot)*0.00000002)&lt;0, 0, MIN(Vin, -L73/(CossTop+CossBot)*0.00000002))</f>
        <v>0</v>
      </c>
      <c r="N73" s="407">
        <f t="shared" ref="N73:N109" si="58">SQRT(H73^2+(J73^2)/12)</f>
        <v>6.6806310080783167</v>
      </c>
      <c r="O73" s="407">
        <f t="shared" si="5"/>
        <v>0.22721038868365487</v>
      </c>
      <c r="P73">
        <f t="shared" ref="P73:P136" si="59">Core_Loss</f>
        <v>0.2</v>
      </c>
      <c r="Q73" s="407">
        <f t="shared" si="34"/>
        <v>0.42721038868365491</v>
      </c>
      <c r="R73" s="9">
        <f t="shared" si="39"/>
        <v>1.9159411958871559</v>
      </c>
      <c r="S73" s="9">
        <f t="shared" si="7"/>
        <v>3.6708306660975052E-3</v>
      </c>
      <c r="T73" s="9">
        <f t="shared" si="40"/>
        <v>3.6708306660975052E-3</v>
      </c>
      <c r="U73" s="407">
        <f t="shared" ref="U73:U109" si="60">SQRT(I73)*SQRT(H73^2+(J73^2)/12)</f>
        <v>4.2379255539408085</v>
      </c>
      <c r="V73" s="409">
        <f t="shared" si="9"/>
        <v>3.5920026001489018E-2</v>
      </c>
      <c r="W73" s="407">
        <f t="shared" si="41"/>
        <v>3.5920026001489018E-2</v>
      </c>
      <c r="X73" s="407">
        <f t="shared" ref="X73:X109" si="61">SQRT(I73)*SQRT(H73^2+(J73^2)/12)</f>
        <v>4.2379255539408085</v>
      </c>
      <c r="Y73" s="407">
        <f t="shared" si="11"/>
        <v>0.10776007800446706</v>
      </c>
      <c r="Z73" s="407">
        <f t="shared" ref="Z73:Z136" si="62">IF(L73&lt;0, (Vin*K73*Tf/2)*Fsw, (Vin*L73*Tr/2+Vin*K73*Tf/2)*Fsw)</f>
        <v>6.6227030687071559E-2</v>
      </c>
      <c r="AA73" s="407">
        <f t="shared" ref="AA73:AA136" si="63">(0.5*CossTop*(Vin-M73)^2-0.5*CossBot*(Vin-M73)^2+(QossBot*(Vin-M73)/Vin)*Vin)*Fsw</f>
        <v>6.4512E-2</v>
      </c>
      <c r="AB73" s="407">
        <f t="shared" ref="AB73:AB136" si="64">IF(L73&gt;0,0,-L73*VsdTop*Deadtime*Fsw)</f>
        <v>0</v>
      </c>
      <c r="AC73" s="407">
        <f t="shared" ref="AC73:AC104" si="65">(AB73+AA73+Z73+Y73*(1+RdsonTopTc*Ta-RdsonTopTc*25))/(1-Y73*RdsonTopTc*ThetaJaTop)</f>
        <v>0.24375246563363084</v>
      </c>
      <c r="AD73" s="407">
        <f t="shared" ref="AD73:AD109" si="66">SQRT(1-I73)*SQRT(H73^2+(J73^2)/12)</f>
        <v>5.1643796980230841</v>
      </c>
      <c r="AE73" s="407">
        <f t="shared" si="17"/>
        <v>0.16002490599211802</v>
      </c>
      <c r="AF73" s="407">
        <f t="shared" ref="AF73:AF136" si="67">IF(L73&lt;0, Deadtime*Fsw*IF(VfdSky&gt;0,0,VsdBot)*K73, Deadtime*Fsw*IF(VfdSky&gt;0,0,VsdBot)*(K73+L73))</f>
        <v>8.8473599999999999E-2</v>
      </c>
      <c r="AG73" s="407">
        <f t="shared" ref="AG73:AG104" si="68">(AF73+AE73*(1+RdsonBotTc*Ta-RdsonBotTc*25))/(1-AE73*RdsonBotTc*ThetaJaBot)</f>
        <v>0.25671465365572949</v>
      </c>
      <c r="AH73" s="407">
        <f t="shared" ref="AH73:AH109" si="69">IF(RDSON_sense=1, 0, AD73^2*Rshunt)</f>
        <v>0</v>
      </c>
      <c r="AI73">
        <f t="shared" ref="AI73:AI136" si="70">2*Deadtime*Fsw*IF(VfdSky&gt;0,VfdSky,0)*H73</f>
        <v>0</v>
      </c>
      <c r="AJ73" s="408">
        <f t="shared" ref="AJ73:AJ136" si="71">IF(QrrSky&gt;0,QrrSky,QrrBot)*Fsw*(Vin-H73*RdsonTop)</f>
        <v>0.2025934848</v>
      </c>
      <c r="AK73">
        <f t="shared" si="23"/>
        <v>2.52E-2</v>
      </c>
      <c r="AL73" s="408">
        <f t="shared" ref="AL73:AL136" si="72">IF(Ext_VCC=1, Vdd*(QgTop+QgBot)*Fsw, Vin*(QgTop+QgBot)*Fsw)</f>
        <v>4.4160000000000005E-2</v>
      </c>
      <c r="AM73" s="408">
        <f t="shared" si="25"/>
        <v>4.9347355729984298E-2</v>
      </c>
      <c r="AN73" s="408">
        <f t="shared" si="42"/>
        <v>6.9360000000000005E-2</v>
      </c>
      <c r="AO73" s="408">
        <f t="shared" ref="AO73:AO104" si="73">SUM(Q73,T73,W73,AC73,AJ73,AI73,AG73,AN73, AH73)</f>
        <v>1.2392218494406018</v>
      </c>
      <c r="AP73">
        <f t="shared" ref="AP73:AP136" si="74">Vout*H73</f>
        <v>32</v>
      </c>
      <c r="AQ73" s="10">
        <f t="shared" si="43"/>
        <v>0.9627180848260003</v>
      </c>
      <c r="AR73" s="63">
        <f t="shared" ref="AR73:AR109" si="75">ThetaJaTop*AC73</f>
        <v>12.187623281681542</v>
      </c>
      <c r="AS73" s="63">
        <f t="shared" si="44"/>
        <v>12.835732682786475</v>
      </c>
      <c r="AT73" s="10"/>
      <c r="AU73">
        <f t="shared" si="45"/>
        <v>96.271808482600036</v>
      </c>
      <c r="BE73" s="28"/>
      <c r="BF73" s="29"/>
    </row>
    <row r="74" spans="1:58" x14ac:dyDescent="0.2">
      <c r="A74" s="24" t="s">
        <v>206</v>
      </c>
      <c r="B74" s="25" t="s">
        <v>8</v>
      </c>
      <c r="C74" s="27" t="s">
        <v>148</v>
      </c>
      <c r="G74">
        <v>65</v>
      </c>
      <c r="H74">
        <f t="shared" si="55"/>
        <v>6.5</v>
      </c>
      <c r="I74" s="407">
        <f t="shared" ref="I74:I109" si="76">(Vout+Rdcr*H74+RdsonBot*H74)/(Vin-RdsonTop*H74+RdsonBot*H74)</f>
        <v>0.40249999999999997</v>
      </c>
      <c r="J74" s="408">
        <f t="shared" si="56"/>
        <v>6.6384548611111098</v>
      </c>
      <c r="K74" s="408">
        <f t="shared" ref="K74:K137" si="77">H74+J74/2</f>
        <v>9.8192274305555554</v>
      </c>
      <c r="L74" s="408">
        <f t="shared" ref="L74:L109" si="78">H74-J74/2</f>
        <v>3.1807725694444451</v>
      </c>
      <c r="M74" s="63">
        <f t="shared" si="57"/>
        <v>0</v>
      </c>
      <c r="N74" s="407">
        <f t="shared" si="58"/>
        <v>6.7766085602301205</v>
      </c>
      <c r="O74" s="407">
        <f t="shared" ref="O74:O109" si="79">(N74^2*Rdcr*(1+Ltc*Ta-Ltc*25))/(1-N74^2*Rdcr*Ltc*ThetaCa)</f>
        <v>0.23390878114348937</v>
      </c>
      <c r="P74">
        <f t="shared" si="59"/>
        <v>0.2</v>
      </c>
      <c r="Q74" s="407">
        <f t="shared" ref="Q74:Q137" si="80">O74+P74</f>
        <v>0.43390878114348941</v>
      </c>
      <c r="R74" s="9">
        <f t="shared" si="39"/>
        <v>1.9163568505328397</v>
      </c>
      <c r="S74" s="9">
        <f t="shared" ref="S74:S109" si="81">RCoutEsr*R74^2</f>
        <v>3.6724235785841443E-3</v>
      </c>
      <c r="T74" s="9">
        <f t="shared" si="40"/>
        <v>3.6724235785841443E-3</v>
      </c>
      <c r="U74" s="407">
        <f t="shared" si="60"/>
        <v>4.2992761588876931</v>
      </c>
      <c r="V74" s="409">
        <f t="shared" ref="V74:V109" si="82">RCinEsr*U74^2</f>
        <v>3.6967550980760232E-2</v>
      </c>
      <c r="W74" s="407">
        <f t="shared" si="41"/>
        <v>3.6967550980760232E-2</v>
      </c>
      <c r="X74" s="407">
        <f t="shared" si="61"/>
        <v>4.2992761588876931</v>
      </c>
      <c r="Y74" s="407">
        <f t="shared" ref="Y74:Y109" si="83">RdsonTop*X74^2</f>
        <v>0.11090265294228069</v>
      </c>
      <c r="Z74" s="407">
        <f t="shared" si="62"/>
        <v>6.7214724040530832E-2</v>
      </c>
      <c r="AA74" s="407">
        <f t="shared" si="63"/>
        <v>6.4512E-2</v>
      </c>
      <c r="AB74" s="407">
        <f t="shared" si="64"/>
        <v>0</v>
      </c>
      <c r="AC74" s="407">
        <f t="shared" si="65"/>
        <v>0.24813310081545722</v>
      </c>
      <c r="AD74" s="407">
        <f t="shared" si="66"/>
        <v>5.2381912993135353</v>
      </c>
      <c r="AE74" s="407">
        <f t="shared" ref="AE74:AE109" si="84">RdsonBot*AD74^2</f>
        <v>0.16463188852922414</v>
      </c>
      <c r="AF74" s="407">
        <f t="shared" si="67"/>
        <v>8.9855999999999991E-2</v>
      </c>
      <c r="AG74" s="407">
        <f t="shared" si="68"/>
        <v>0.26315254874340521</v>
      </c>
      <c r="AH74" s="407">
        <f t="shared" si="69"/>
        <v>0</v>
      </c>
      <c r="AI74">
        <f t="shared" si="70"/>
        <v>0</v>
      </c>
      <c r="AJ74" s="408">
        <f t="shared" si="71"/>
        <v>0.202583808</v>
      </c>
      <c r="AK74">
        <f t="shared" ref="AK74:AK137" si="85">Iq*Vin</f>
        <v>2.52E-2</v>
      </c>
      <c r="AL74" s="408">
        <f t="shared" si="72"/>
        <v>4.4160000000000005E-2</v>
      </c>
      <c r="AM74" s="408">
        <f t="shared" ref="AM74:AM137" si="86">(Vin-Vdd)*Fsw*(QgTop+QgBot)+(RdsonDRT+RdsonDRT2)*Fsw*QgTop*Vdd/(RdsonDRT+2*RGateTop+RdsonDRT2)+(RdsonDRB+RdsonDRB2)*Fsw*QgBot*Vdd/(RdsonDRB+2*RGateBot+RdsonDRB2)</f>
        <v>4.9347355729984298E-2</v>
      </c>
      <c r="AN74" s="408">
        <f t="shared" si="42"/>
        <v>6.9360000000000005E-2</v>
      </c>
      <c r="AO74" s="408">
        <f t="shared" si="73"/>
        <v>1.2577782132616964</v>
      </c>
      <c r="AP74">
        <f t="shared" si="74"/>
        <v>32.5</v>
      </c>
      <c r="AQ74" s="10">
        <f t="shared" si="43"/>
        <v>0.9627410842823898</v>
      </c>
      <c r="AR74" s="63">
        <f t="shared" si="75"/>
        <v>12.406655040772861</v>
      </c>
      <c r="AS74" s="63">
        <f t="shared" si="44"/>
        <v>13.157627437170261</v>
      </c>
      <c r="AT74" s="10"/>
      <c r="AU74">
        <f t="shared" si="45"/>
        <v>96.274108428238975</v>
      </c>
      <c r="BE74" s="28"/>
      <c r="BF74" s="29"/>
    </row>
    <row r="75" spans="1:58" x14ac:dyDescent="0.2">
      <c r="A75" s="44" t="s">
        <v>207</v>
      </c>
      <c r="B75" s="121">
        <f>AN9</f>
        <v>6.9360000000000005E-2</v>
      </c>
      <c r="C75" s="122" t="s">
        <v>208</v>
      </c>
      <c r="G75">
        <v>66</v>
      </c>
      <c r="H75">
        <f t="shared" si="55"/>
        <v>6.6000000000000005</v>
      </c>
      <c r="I75" s="407">
        <f t="shared" si="76"/>
        <v>0.40258730158730166</v>
      </c>
      <c r="J75" s="408">
        <f t="shared" si="56"/>
        <v>6.6398947310405649</v>
      </c>
      <c r="K75" s="408">
        <f t="shared" si="77"/>
        <v>9.919947365520283</v>
      </c>
      <c r="L75" s="408">
        <f t="shared" si="78"/>
        <v>3.2800526344797181</v>
      </c>
      <c r="M75" s="63">
        <f t="shared" si="57"/>
        <v>0</v>
      </c>
      <c r="N75" s="407">
        <f t="shared" si="58"/>
        <v>6.8727008400343141</v>
      </c>
      <c r="O75" s="407">
        <f t="shared" si="79"/>
        <v>0.24071811763147455</v>
      </c>
      <c r="P75">
        <f t="shared" si="59"/>
        <v>0.2</v>
      </c>
      <c r="Q75" s="407">
        <f t="shared" si="80"/>
        <v>0.44071811763147456</v>
      </c>
      <c r="R75" s="9">
        <f t="shared" ref="R75:R109" si="87">J75/(2*SQRT(3))</f>
        <v>1.916772505178524</v>
      </c>
      <c r="S75" s="9">
        <f t="shared" si="81"/>
        <v>3.6740168366083551E-3</v>
      </c>
      <c r="T75" s="9">
        <f t="shared" ref="T75:T109" si="88">S75</f>
        <v>3.6740168366083551E-3</v>
      </c>
      <c r="U75" s="407">
        <f t="shared" si="60"/>
        <v>4.3607127148413865</v>
      </c>
      <c r="V75" s="409">
        <f t="shared" si="82"/>
        <v>3.8031630762758666E-2</v>
      </c>
      <c r="W75" s="407">
        <f t="shared" ref="W75:W109" si="89">V75</f>
        <v>3.8031630762758666E-2</v>
      </c>
      <c r="X75" s="407">
        <f t="shared" si="61"/>
        <v>4.3607127148413865</v>
      </c>
      <c r="Y75" s="407">
        <f t="shared" si="83"/>
        <v>0.114094892288276</v>
      </c>
      <c r="Z75" s="407">
        <f t="shared" si="62"/>
        <v>6.8202417393990106E-2</v>
      </c>
      <c r="AA75" s="407">
        <f t="shared" si="63"/>
        <v>6.4512E-2</v>
      </c>
      <c r="AB75" s="407">
        <f t="shared" si="64"/>
        <v>0</v>
      </c>
      <c r="AC75" s="407">
        <f t="shared" si="65"/>
        <v>0.25257276209960755</v>
      </c>
      <c r="AD75" s="407">
        <f t="shared" si="66"/>
        <v>5.3120807086516519</v>
      </c>
      <c r="AE75" s="407">
        <f t="shared" si="84"/>
        <v>0.16930920873137423</v>
      </c>
      <c r="AF75" s="407">
        <f t="shared" si="67"/>
        <v>9.1238399999999997E-2</v>
      </c>
      <c r="AG75" s="407">
        <f t="shared" si="68"/>
        <v>0.2696794516452064</v>
      </c>
      <c r="AH75" s="407">
        <f t="shared" si="69"/>
        <v>0</v>
      </c>
      <c r="AI75">
        <f t="shared" si="70"/>
        <v>0</v>
      </c>
      <c r="AJ75" s="408">
        <f t="shared" si="71"/>
        <v>0.20257413119999998</v>
      </c>
      <c r="AK75">
        <f t="shared" si="85"/>
        <v>2.52E-2</v>
      </c>
      <c r="AL75" s="408">
        <f t="shared" si="72"/>
        <v>4.4160000000000005E-2</v>
      </c>
      <c r="AM75" s="408">
        <f t="shared" si="86"/>
        <v>4.9347355729984298E-2</v>
      </c>
      <c r="AN75" s="408">
        <f t="shared" ref="AN75:AN109" si="90">SUM(AK75:AL75)</f>
        <v>6.9360000000000005E-2</v>
      </c>
      <c r="AO75" s="408">
        <f t="shared" si="73"/>
        <v>1.2766101101756555</v>
      </c>
      <c r="AP75">
        <f t="shared" si="74"/>
        <v>33</v>
      </c>
      <c r="AQ75" s="10">
        <f t="shared" ref="AQ75:AQ109" si="91">AP75/(AP75+AO75)</f>
        <v>0.96275564864576069</v>
      </c>
      <c r="AR75" s="63">
        <f t="shared" si="75"/>
        <v>12.628638104980377</v>
      </c>
      <c r="AS75" s="63">
        <f t="shared" ref="AS75:AS109" si="92">AG75*ThetaJaBot</f>
        <v>13.48397258226032</v>
      </c>
      <c r="AT75" s="10"/>
      <c r="AU75">
        <f t="shared" ref="AU75:AU109" si="93">AQ75*100</f>
        <v>96.275564864576069</v>
      </c>
      <c r="BE75" s="28"/>
      <c r="BF75" s="29"/>
    </row>
    <row r="76" spans="1:58" x14ac:dyDescent="0.2">
      <c r="A76" s="44" t="s">
        <v>211</v>
      </c>
      <c r="B76" s="120">
        <f>B75*B62</f>
        <v>1.3872</v>
      </c>
      <c r="C76" s="417" t="s">
        <v>442</v>
      </c>
      <c r="G76">
        <v>67</v>
      </c>
      <c r="H76">
        <f t="shared" si="55"/>
        <v>6.7</v>
      </c>
      <c r="I76" s="407">
        <f t="shared" si="76"/>
        <v>0.40267460317460319</v>
      </c>
      <c r="J76" s="408">
        <f t="shared" si="56"/>
        <v>6.6413346009700174</v>
      </c>
      <c r="K76" s="408">
        <f t="shared" si="77"/>
        <v>10.020667300485009</v>
      </c>
      <c r="L76" s="408">
        <f t="shared" si="78"/>
        <v>3.3793326995149915</v>
      </c>
      <c r="M76" s="63">
        <f t="shared" si="57"/>
        <v>0</v>
      </c>
      <c r="N76" s="407">
        <f t="shared" si="58"/>
        <v>6.9689031016487908</v>
      </c>
      <c r="O76" s="407">
        <f t="shared" si="79"/>
        <v>0.24763874288764057</v>
      </c>
      <c r="P76">
        <f t="shared" si="59"/>
        <v>0.2</v>
      </c>
      <c r="Q76" s="407">
        <f t="shared" si="80"/>
        <v>0.44763874288764061</v>
      </c>
      <c r="R76" s="9">
        <f t="shared" si="87"/>
        <v>1.9171881598242078</v>
      </c>
      <c r="S76" s="9">
        <f t="shared" si="81"/>
        <v>3.6756104401701323E-3</v>
      </c>
      <c r="T76" s="9">
        <f t="shared" si="88"/>
        <v>3.6756104401701323E-3</v>
      </c>
      <c r="U76" s="407">
        <f t="shared" si="60"/>
        <v>4.4222322317951459</v>
      </c>
      <c r="V76" s="409">
        <f t="shared" si="82"/>
        <v>3.9112275823855756E-2</v>
      </c>
      <c r="W76" s="407">
        <f t="shared" si="89"/>
        <v>3.9112275823855756E-2</v>
      </c>
      <c r="X76" s="407">
        <f t="shared" si="61"/>
        <v>4.4222322317951459</v>
      </c>
      <c r="Y76" s="407">
        <f t="shared" si="83"/>
        <v>0.11733682747156726</v>
      </c>
      <c r="Z76" s="407">
        <f t="shared" si="62"/>
        <v>6.9190110747449352E-2</v>
      </c>
      <c r="AA76" s="407">
        <f t="shared" si="63"/>
        <v>6.4512E-2</v>
      </c>
      <c r="AB76" s="407">
        <f t="shared" si="64"/>
        <v>0</v>
      </c>
      <c r="AC76" s="407">
        <f t="shared" si="65"/>
        <v>0.25707173457248633</v>
      </c>
      <c r="AD76" s="407">
        <f t="shared" si="66"/>
        <v>5.3860442374939943</v>
      </c>
      <c r="AE76" s="407">
        <f t="shared" si="84"/>
        <v>0.17405683516945358</v>
      </c>
      <c r="AF76" s="407">
        <f t="shared" si="67"/>
        <v>9.2620800000000003E-2</v>
      </c>
      <c r="AG76" s="407">
        <f t="shared" si="68"/>
        <v>0.27629587218607188</v>
      </c>
      <c r="AH76" s="407">
        <f t="shared" si="69"/>
        <v>0</v>
      </c>
      <c r="AI76">
        <f t="shared" si="70"/>
        <v>0</v>
      </c>
      <c r="AJ76" s="408">
        <f t="shared" si="71"/>
        <v>0.20256445439999998</v>
      </c>
      <c r="AK76">
        <f t="shared" si="85"/>
        <v>2.52E-2</v>
      </c>
      <c r="AL76" s="408">
        <f t="shared" si="72"/>
        <v>4.4160000000000005E-2</v>
      </c>
      <c r="AM76" s="408">
        <f t="shared" si="86"/>
        <v>4.9347355729984298E-2</v>
      </c>
      <c r="AN76" s="408">
        <f t="shared" si="90"/>
        <v>6.9360000000000005E-2</v>
      </c>
      <c r="AO76" s="408">
        <f t="shared" si="73"/>
        <v>1.2957186903102249</v>
      </c>
      <c r="AP76">
        <f t="shared" si="74"/>
        <v>33.5</v>
      </c>
      <c r="AQ76" s="10">
        <f t="shared" si="91"/>
        <v>0.96276212306915077</v>
      </c>
      <c r="AR76" s="63">
        <f t="shared" si="75"/>
        <v>12.853586728624316</v>
      </c>
      <c r="AS76" s="63">
        <f t="shared" si="92"/>
        <v>13.814793609303594</v>
      </c>
      <c r="AT76" s="10"/>
      <c r="AU76">
        <f t="shared" si="93"/>
        <v>96.27621230691507</v>
      </c>
      <c r="BE76" s="28"/>
      <c r="BF76" s="29"/>
    </row>
    <row r="77" spans="1:58" x14ac:dyDescent="0.2">
      <c r="A77" s="44" t="s">
        <v>388</v>
      </c>
      <c r="B77" s="120">
        <f>(QgBot+QgTop)*Fsw+Iq</f>
        <v>7.8879999999999992E-3</v>
      </c>
      <c r="C77" s="31" t="s">
        <v>2</v>
      </c>
      <c r="G77">
        <v>68</v>
      </c>
      <c r="H77">
        <f t="shared" si="55"/>
        <v>6.8000000000000007</v>
      </c>
      <c r="I77" s="407">
        <f t="shared" si="76"/>
        <v>0.40276190476190477</v>
      </c>
      <c r="J77" s="408">
        <f t="shared" si="56"/>
        <v>6.6427744708994707</v>
      </c>
      <c r="K77" s="408">
        <f t="shared" si="77"/>
        <v>10.121387235449737</v>
      </c>
      <c r="L77" s="408">
        <f t="shared" si="78"/>
        <v>3.4786127645502654</v>
      </c>
      <c r="M77" s="63">
        <f t="shared" si="57"/>
        <v>0</v>
      </c>
      <c r="N77" s="407">
        <f t="shared" si="58"/>
        <v>7.0652108524282191</v>
      </c>
      <c r="O77" s="407">
        <f t="shared" si="79"/>
        <v>0.25467100784662799</v>
      </c>
      <c r="P77">
        <f t="shared" si="59"/>
        <v>0.2</v>
      </c>
      <c r="Q77" s="407">
        <f t="shared" si="80"/>
        <v>0.45467100784662801</v>
      </c>
      <c r="R77" s="9">
        <f t="shared" si="87"/>
        <v>1.9176038144698917</v>
      </c>
      <c r="S77" s="9">
        <f t="shared" si="81"/>
        <v>3.677204389269479E-3</v>
      </c>
      <c r="T77" s="9">
        <f t="shared" si="88"/>
        <v>3.677204389269479E-3</v>
      </c>
      <c r="U77" s="407">
        <f t="shared" si="60"/>
        <v>4.4838318791198555</v>
      </c>
      <c r="V77" s="409">
        <f t="shared" si="82"/>
        <v>4.020949664042299E-2</v>
      </c>
      <c r="W77" s="407">
        <f t="shared" si="89"/>
        <v>4.020949664042299E-2</v>
      </c>
      <c r="X77" s="407">
        <f t="shared" si="61"/>
        <v>4.4838318791198555</v>
      </c>
      <c r="Y77" s="407">
        <f t="shared" si="83"/>
        <v>0.12062848992126897</v>
      </c>
      <c r="Z77" s="407">
        <f t="shared" si="62"/>
        <v>7.0177804100908653E-2</v>
      </c>
      <c r="AA77" s="407">
        <f t="shared" si="63"/>
        <v>6.4512E-2</v>
      </c>
      <c r="AB77" s="407">
        <f t="shared" si="64"/>
        <v>0</v>
      </c>
      <c r="AC77" s="407">
        <f t="shared" si="65"/>
        <v>0.26163030781197671</v>
      </c>
      <c r="AD77" s="407">
        <f t="shared" si="66"/>
        <v>5.4600783940395941</v>
      </c>
      <c r="AE77" s="407">
        <f t="shared" si="84"/>
        <v>0.17887473641434798</v>
      </c>
      <c r="AF77" s="407">
        <f t="shared" si="67"/>
        <v>9.4003200000000009E-2</v>
      </c>
      <c r="AG77" s="407">
        <f t="shared" si="68"/>
        <v>0.2830023298455</v>
      </c>
      <c r="AH77" s="407">
        <f t="shared" si="69"/>
        <v>0</v>
      </c>
      <c r="AI77">
        <f t="shared" si="70"/>
        <v>0</v>
      </c>
      <c r="AJ77" s="408">
        <f t="shared" si="71"/>
        <v>0.20255477759999999</v>
      </c>
      <c r="AK77">
        <f t="shared" si="85"/>
        <v>2.52E-2</v>
      </c>
      <c r="AL77" s="408">
        <f t="shared" si="72"/>
        <v>4.4160000000000005E-2</v>
      </c>
      <c r="AM77" s="408">
        <f t="shared" si="86"/>
        <v>4.9347355729984298E-2</v>
      </c>
      <c r="AN77" s="408">
        <f t="shared" si="90"/>
        <v>6.9360000000000005E-2</v>
      </c>
      <c r="AO77" s="408">
        <f t="shared" si="73"/>
        <v>1.3151051241337974</v>
      </c>
      <c r="AP77">
        <f t="shared" si="74"/>
        <v>34</v>
      </c>
      <c r="AQ77" s="10">
        <f t="shared" si="91"/>
        <v>0.9627608322412986</v>
      </c>
      <c r="AR77" s="63">
        <f t="shared" si="75"/>
        <v>13.081515390598836</v>
      </c>
      <c r="AS77" s="63">
        <f t="shared" si="92"/>
        <v>14.150116492275</v>
      </c>
      <c r="AT77" s="10"/>
      <c r="AU77">
        <f t="shared" si="93"/>
        <v>96.276083224129863</v>
      </c>
      <c r="BE77" s="28"/>
      <c r="BF77" s="29"/>
    </row>
    <row r="78" spans="1:58" x14ac:dyDescent="0.2">
      <c r="A78" s="44" t="s">
        <v>389</v>
      </c>
      <c r="B78" s="119">
        <f>QrrBot*Fsw</f>
        <v>1.6128E-2</v>
      </c>
      <c r="C78" s="31" t="s">
        <v>2</v>
      </c>
      <c r="G78">
        <v>69</v>
      </c>
      <c r="H78">
        <f t="shared" si="55"/>
        <v>6.8999999999999995</v>
      </c>
      <c r="I78" s="407">
        <f t="shared" si="76"/>
        <v>0.4028492063492064</v>
      </c>
      <c r="J78" s="408">
        <f t="shared" si="56"/>
        <v>6.644214340828924</v>
      </c>
      <c r="K78" s="408">
        <f t="shared" si="77"/>
        <v>10.222107170414461</v>
      </c>
      <c r="L78" s="408">
        <f t="shared" si="78"/>
        <v>3.5778928295855374</v>
      </c>
      <c r="M78" s="63">
        <f t="shared" si="57"/>
        <v>0</v>
      </c>
      <c r="N78" s="407">
        <f t="shared" si="58"/>
        <v>7.1616198365946779</v>
      </c>
      <c r="O78" s="407">
        <f t="shared" si="79"/>
        <v>0.26181526968319346</v>
      </c>
      <c r="P78">
        <f t="shared" si="59"/>
        <v>0.2</v>
      </c>
      <c r="Q78" s="407">
        <f t="shared" si="80"/>
        <v>0.46181526968319347</v>
      </c>
      <c r="R78" s="9">
        <f t="shared" si="87"/>
        <v>1.9180194691155756</v>
      </c>
      <c r="S78" s="9">
        <f t="shared" si="81"/>
        <v>3.6787986839063947E-3</v>
      </c>
      <c r="T78" s="9">
        <f t="shared" si="88"/>
        <v>3.6787986839063947E-3</v>
      </c>
      <c r="U78" s="407">
        <f t="shared" si="60"/>
        <v>4.5455089752871363</v>
      </c>
      <c r="V78" s="409">
        <f t="shared" si="82"/>
        <v>4.1323303688831824E-2</v>
      </c>
      <c r="W78" s="407">
        <f t="shared" si="89"/>
        <v>4.1323303688831824E-2</v>
      </c>
      <c r="X78" s="407">
        <f t="shared" si="61"/>
        <v>4.5455089752871363</v>
      </c>
      <c r="Y78" s="407">
        <f t="shared" si="83"/>
        <v>0.12396991106649546</v>
      </c>
      <c r="Z78" s="407">
        <f t="shared" si="62"/>
        <v>7.1165497454367899E-2</v>
      </c>
      <c r="AA78" s="407">
        <f t="shared" si="63"/>
        <v>6.4512E-2</v>
      </c>
      <c r="AB78" s="407">
        <f t="shared" si="64"/>
        <v>0</v>
      </c>
      <c r="AC78" s="407">
        <f t="shared" si="65"/>
        <v>0.26624877593572643</v>
      </c>
      <c r="AD78" s="407">
        <f t="shared" si="66"/>
        <v>5.5341798705400311</v>
      </c>
      <c r="AE78" s="407">
        <f t="shared" si="84"/>
        <v>0.18376288103694285</v>
      </c>
      <c r="AF78" s="407">
        <f t="shared" si="67"/>
        <v>9.5385599999999973E-2</v>
      </c>
      <c r="AG78" s="407">
        <f t="shared" si="68"/>
        <v>0.28979935387508904</v>
      </c>
      <c r="AH78" s="407">
        <f t="shared" si="69"/>
        <v>0</v>
      </c>
      <c r="AI78">
        <f t="shared" si="70"/>
        <v>0</v>
      </c>
      <c r="AJ78" s="408">
        <f t="shared" si="71"/>
        <v>0.20254510080000002</v>
      </c>
      <c r="AK78">
        <f t="shared" si="85"/>
        <v>2.52E-2</v>
      </c>
      <c r="AL78" s="408">
        <f t="shared" si="72"/>
        <v>4.4160000000000005E-2</v>
      </c>
      <c r="AM78" s="408">
        <f t="shared" si="86"/>
        <v>4.9347355729984298E-2</v>
      </c>
      <c r="AN78" s="408">
        <f t="shared" si="90"/>
        <v>6.9360000000000005E-2</v>
      </c>
      <c r="AO78" s="408">
        <f t="shared" si="73"/>
        <v>1.3347706026667472</v>
      </c>
      <c r="AP78">
        <f t="shared" si="74"/>
        <v>34.5</v>
      </c>
      <c r="AQ78" s="10">
        <f t="shared" si="91"/>
        <v>0.96275208184066308</v>
      </c>
      <c r="AR78" s="63">
        <f t="shared" si="75"/>
        <v>13.312438796786322</v>
      </c>
      <c r="AS78" s="63">
        <f t="shared" si="92"/>
        <v>14.489967693754451</v>
      </c>
      <c r="AT78" s="10"/>
      <c r="AU78">
        <f t="shared" si="93"/>
        <v>96.275208184066301</v>
      </c>
      <c r="BE78" s="28"/>
      <c r="BF78" s="29"/>
    </row>
    <row r="79" spans="1:58" x14ac:dyDescent="0.2">
      <c r="A79" s="44" t="s">
        <v>390</v>
      </c>
      <c r="B79" s="476">
        <f>C79/Vin</f>
        <v>3.0797883597883605E-4</v>
      </c>
      <c r="C79" s="475">
        <f>Deadtime*Fsw*(Ipp/2)*(VsdTop+VsdBot)</f>
        <v>3.8805333333333338E-3</v>
      </c>
      <c r="G79">
        <v>70</v>
      </c>
      <c r="H79">
        <f t="shared" si="55"/>
        <v>7</v>
      </c>
      <c r="I79" s="407">
        <f t="shared" si="76"/>
        <v>0.40293650793650793</v>
      </c>
      <c r="J79" s="408">
        <f t="shared" si="56"/>
        <v>6.6456542107583756</v>
      </c>
      <c r="K79" s="408">
        <f t="shared" si="77"/>
        <v>10.322827105379188</v>
      </c>
      <c r="L79" s="408">
        <f t="shared" si="78"/>
        <v>3.6771728946208122</v>
      </c>
      <c r="M79" s="63">
        <f t="shared" si="57"/>
        <v>0</v>
      </c>
      <c r="N79" s="407">
        <f t="shared" si="58"/>
        <v>7.2581260201294988</v>
      </c>
      <c r="O79" s="407">
        <f t="shared" si="79"/>
        <v>0.26907189185863128</v>
      </c>
      <c r="P79">
        <f t="shared" si="59"/>
        <v>0.2</v>
      </c>
      <c r="Q79" s="407">
        <f t="shared" si="80"/>
        <v>0.4690718918586313</v>
      </c>
      <c r="R79" s="9">
        <f t="shared" si="87"/>
        <v>1.9184351237612591</v>
      </c>
      <c r="S79" s="9">
        <f t="shared" si="81"/>
        <v>3.6803933240808777E-3</v>
      </c>
      <c r="T79" s="9">
        <f t="shared" si="88"/>
        <v>3.6803933240808777E-3</v>
      </c>
      <c r="U79" s="407">
        <f t="shared" si="60"/>
        <v>4.6072609783608822</v>
      </c>
      <c r="V79" s="409">
        <f t="shared" si="82"/>
        <v>4.2453707445453744E-2</v>
      </c>
      <c r="W79" s="407">
        <f t="shared" si="89"/>
        <v>4.2453707445453744E-2</v>
      </c>
      <c r="X79" s="407">
        <f t="shared" si="61"/>
        <v>4.6072609783608822</v>
      </c>
      <c r="Y79" s="407">
        <f t="shared" si="83"/>
        <v>0.12736112233636124</v>
      </c>
      <c r="Z79" s="407">
        <f t="shared" si="62"/>
        <v>7.2153190807827172E-2</v>
      </c>
      <c r="AA79" s="407">
        <f t="shared" si="63"/>
        <v>6.4512E-2</v>
      </c>
      <c r="AB79" s="407">
        <f t="shared" si="64"/>
        <v>0</v>
      </c>
      <c r="AC79" s="407">
        <f t="shared" si="65"/>
        <v>0.27092743765036137</v>
      </c>
      <c r="AD79" s="407">
        <f t="shared" si="66"/>
        <v>5.608345531558661</v>
      </c>
      <c r="AE79" s="407">
        <f t="shared" si="84"/>
        <v>0.18872123760812401</v>
      </c>
      <c r="AF79" s="407">
        <f t="shared" si="67"/>
        <v>9.6767999999999993E-2</v>
      </c>
      <c r="AG79" s="407">
        <f t="shared" si="68"/>
        <v>0.29668748341885315</v>
      </c>
      <c r="AH79" s="407">
        <f t="shared" si="69"/>
        <v>0</v>
      </c>
      <c r="AI79">
        <f t="shared" si="70"/>
        <v>0</v>
      </c>
      <c r="AJ79" s="408">
        <f t="shared" si="71"/>
        <v>0.20253542399999999</v>
      </c>
      <c r="AK79">
        <f t="shared" si="85"/>
        <v>2.52E-2</v>
      </c>
      <c r="AL79" s="408">
        <f t="shared" si="72"/>
        <v>4.4160000000000005E-2</v>
      </c>
      <c r="AM79" s="408">
        <f t="shared" si="86"/>
        <v>4.9347355729984298E-2</v>
      </c>
      <c r="AN79" s="408">
        <f t="shared" si="90"/>
        <v>6.9360000000000005E-2</v>
      </c>
      <c r="AO79" s="408">
        <f t="shared" si="73"/>
        <v>1.3547163376973805</v>
      </c>
      <c r="AP79">
        <f t="shared" si="74"/>
        <v>35</v>
      </c>
      <c r="AQ79" s="10">
        <f t="shared" si="91"/>
        <v>0.9627361598667562</v>
      </c>
      <c r="AR79" s="63">
        <f t="shared" si="75"/>
        <v>13.546371882518068</v>
      </c>
      <c r="AS79" s="63">
        <f t="shared" si="92"/>
        <v>14.834374170942658</v>
      </c>
      <c r="AT79" s="10"/>
      <c r="AU79">
        <f t="shared" si="93"/>
        <v>96.273615986675622</v>
      </c>
      <c r="BE79" s="28"/>
      <c r="BF79" s="29"/>
    </row>
    <row r="80" spans="1:58" x14ac:dyDescent="0.2">
      <c r="A80" s="44" t="s">
        <v>92</v>
      </c>
      <c r="B80" s="476">
        <f>SUM(B77:B79)</f>
        <v>2.4323978835978834E-2</v>
      </c>
      <c r="C80" s="31" t="s">
        <v>2</v>
      </c>
      <c r="G80">
        <v>71</v>
      </c>
      <c r="H80">
        <f t="shared" si="55"/>
        <v>7.1</v>
      </c>
      <c r="I80" s="407">
        <f t="shared" si="76"/>
        <v>0.40302380952380956</v>
      </c>
      <c r="J80" s="408">
        <f t="shared" si="56"/>
        <v>6.6470940806878298</v>
      </c>
      <c r="K80" s="408">
        <f t="shared" si="77"/>
        <v>10.423547040343914</v>
      </c>
      <c r="L80" s="408">
        <f t="shared" si="78"/>
        <v>3.7764529596560847</v>
      </c>
      <c r="M80" s="63">
        <f t="shared" si="57"/>
        <v>0</v>
      </c>
      <c r="N80" s="407">
        <f t="shared" si="58"/>
        <v>7.3547255767834692</v>
      </c>
      <c r="O80" s="407">
        <f t="shared" si="79"/>
        <v>0.27644124416811927</v>
      </c>
      <c r="P80">
        <f t="shared" si="59"/>
        <v>0.2</v>
      </c>
      <c r="Q80" s="407">
        <f t="shared" si="80"/>
        <v>0.47644124416811928</v>
      </c>
      <c r="R80" s="9">
        <f t="shared" si="87"/>
        <v>1.9188507784069433</v>
      </c>
      <c r="S80" s="9">
        <f t="shared" si="81"/>
        <v>3.6819883097929324E-3</v>
      </c>
      <c r="T80" s="9">
        <f t="shared" si="88"/>
        <v>3.6819883097929324E-3</v>
      </c>
      <c r="U80" s="407">
        <f t="shared" si="60"/>
        <v>4.6690854771925219</v>
      </c>
      <c r="V80" s="409">
        <f t="shared" si="82"/>
        <v>4.3600718386660242E-2</v>
      </c>
      <c r="W80" s="407">
        <f t="shared" si="89"/>
        <v>4.3600718386660242E-2</v>
      </c>
      <c r="X80" s="407">
        <f t="shared" si="61"/>
        <v>4.6690854771925219</v>
      </c>
      <c r="Y80" s="407">
        <f t="shared" si="83"/>
        <v>0.13080215515998073</v>
      </c>
      <c r="Z80" s="407">
        <f t="shared" si="62"/>
        <v>7.3140884161286446E-2</v>
      </c>
      <c r="AA80" s="407">
        <f t="shared" si="63"/>
        <v>6.4512E-2</v>
      </c>
      <c r="AB80" s="407">
        <f t="shared" si="64"/>
        <v>0</v>
      </c>
      <c r="AC80" s="407">
        <f t="shared" si="65"/>
        <v>0.27566659630164142</v>
      </c>
      <c r="AD80" s="407">
        <f t="shared" si="66"/>
        <v>5.6825724030990417</v>
      </c>
      <c r="AE80" s="407">
        <f t="shared" si="84"/>
        <v>0.19374977469877688</v>
      </c>
      <c r="AF80" s="407">
        <f t="shared" si="67"/>
        <v>9.8150399999999985E-2</v>
      </c>
      <c r="AG80" s="407">
        <f t="shared" si="68"/>
        <v>0.30366726763636465</v>
      </c>
      <c r="AH80" s="407">
        <f t="shared" si="69"/>
        <v>0</v>
      </c>
      <c r="AI80">
        <f t="shared" si="70"/>
        <v>0</v>
      </c>
      <c r="AJ80" s="408">
        <f t="shared" si="71"/>
        <v>0.20252574719999999</v>
      </c>
      <c r="AK80">
        <f t="shared" si="85"/>
        <v>2.52E-2</v>
      </c>
      <c r="AL80" s="408">
        <f t="shared" si="72"/>
        <v>4.4160000000000005E-2</v>
      </c>
      <c r="AM80" s="408">
        <f t="shared" si="86"/>
        <v>4.9347355729984298E-2</v>
      </c>
      <c r="AN80" s="408">
        <f t="shared" si="90"/>
        <v>6.9360000000000005E-2</v>
      </c>
      <c r="AO80" s="408">
        <f t="shared" si="73"/>
        <v>1.3749435620025787</v>
      </c>
      <c r="AP80">
        <f t="shared" si="74"/>
        <v>35.5</v>
      </c>
      <c r="AQ80" s="10">
        <f t="shared" si="91"/>
        <v>0.96271333786068825</v>
      </c>
      <c r="AR80" s="63">
        <f t="shared" si="75"/>
        <v>13.783329815082071</v>
      </c>
      <c r="AS80" s="63">
        <f t="shared" si="92"/>
        <v>15.183363381818232</v>
      </c>
      <c r="AT80" s="10"/>
      <c r="AU80">
        <f t="shared" si="93"/>
        <v>96.271333786068823</v>
      </c>
      <c r="BE80" s="28"/>
      <c r="BF80" s="29"/>
    </row>
    <row r="81" spans="1:58" x14ac:dyDescent="0.2">
      <c r="A81" s="2"/>
      <c r="G81">
        <v>72</v>
      </c>
      <c r="H81">
        <f t="shared" si="55"/>
        <v>7.1999999999999993</v>
      </c>
      <c r="I81" s="407">
        <f t="shared" si="76"/>
        <v>0.40311111111111109</v>
      </c>
      <c r="J81" s="408">
        <f t="shared" si="56"/>
        <v>6.6485339506172823</v>
      </c>
      <c r="K81" s="408">
        <f t="shared" si="77"/>
        <v>10.52426697530864</v>
      </c>
      <c r="L81" s="408">
        <f t="shared" si="78"/>
        <v>3.8757330246913582</v>
      </c>
      <c r="M81" s="63">
        <f t="shared" si="57"/>
        <v>0</v>
      </c>
      <c r="N81" s="407">
        <f t="shared" si="58"/>
        <v>7.4514148751121452</v>
      </c>
      <c r="O81" s="407">
        <f t="shared" si="79"/>
        <v>0.28392370278900469</v>
      </c>
      <c r="P81">
        <f t="shared" si="59"/>
        <v>0.2</v>
      </c>
      <c r="Q81" s="407">
        <f t="shared" si="80"/>
        <v>0.48392370278900471</v>
      </c>
      <c r="R81" s="9">
        <f t="shared" si="87"/>
        <v>1.919266433052627</v>
      </c>
      <c r="S81" s="9">
        <f t="shared" si="81"/>
        <v>3.6835836410425544E-3</v>
      </c>
      <c r="T81" s="9">
        <f t="shared" si="88"/>
        <v>3.6835836410425544E-3</v>
      </c>
      <c r="U81" s="407">
        <f t="shared" si="60"/>
        <v>4.7309801832613267</v>
      </c>
      <c r="V81" s="409">
        <f t="shared" si="82"/>
        <v>4.4764346988822749E-2</v>
      </c>
      <c r="W81" s="407">
        <f t="shared" si="89"/>
        <v>4.4764346988822749E-2</v>
      </c>
      <c r="X81" s="407">
        <f t="shared" si="61"/>
        <v>4.7309801832613267</v>
      </c>
      <c r="Y81" s="407">
        <f t="shared" si="83"/>
        <v>0.13429304096646827</v>
      </c>
      <c r="Z81" s="407">
        <f t="shared" si="62"/>
        <v>7.4128577514745705E-2</v>
      </c>
      <c r="AA81" s="407">
        <f t="shared" si="63"/>
        <v>6.4512E-2</v>
      </c>
      <c r="AB81" s="407">
        <f t="shared" si="64"/>
        <v>0</v>
      </c>
      <c r="AC81" s="407">
        <f t="shared" si="65"/>
        <v>0.28046655992557595</v>
      </c>
      <c r="AD81" s="407">
        <f t="shared" si="66"/>
        <v>5.7568576625300691</v>
      </c>
      <c r="AE81" s="407">
        <f t="shared" si="84"/>
        <v>0.19884846087978705</v>
      </c>
      <c r="AF81" s="407">
        <f t="shared" si="67"/>
        <v>9.9532799999999991E-2</v>
      </c>
      <c r="AG81" s="407">
        <f t="shared" si="68"/>
        <v>0.31073926582878064</v>
      </c>
      <c r="AH81" s="407">
        <f t="shared" si="69"/>
        <v>0</v>
      </c>
      <c r="AI81">
        <f t="shared" si="70"/>
        <v>0</v>
      </c>
      <c r="AJ81" s="408">
        <f t="shared" si="71"/>
        <v>0.2025160704</v>
      </c>
      <c r="AK81">
        <f t="shared" si="85"/>
        <v>2.52E-2</v>
      </c>
      <c r="AL81" s="408">
        <f t="shared" si="72"/>
        <v>4.4160000000000005E-2</v>
      </c>
      <c r="AM81" s="408">
        <f t="shared" si="86"/>
        <v>4.9347355729984298E-2</v>
      </c>
      <c r="AN81" s="408">
        <f t="shared" si="90"/>
        <v>6.9360000000000005E-2</v>
      </c>
      <c r="AO81" s="408">
        <f t="shared" si="73"/>
        <v>1.3954535295732267</v>
      </c>
      <c r="AP81">
        <f t="shared" si="74"/>
        <v>36</v>
      </c>
      <c r="AQ81" s="10">
        <f t="shared" si="91"/>
        <v>0.9626838720255213</v>
      </c>
      <c r="AR81" s="63">
        <f t="shared" si="75"/>
        <v>14.023327996278798</v>
      </c>
      <c r="AS81" s="63">
        <f t="shared" si="92"/>
        <v>15.536963291439033</v>
      </c>
      <c r="AT81" s="10"/>
      <c r="AU81">
        <f t="shared" si="93"/>
        <v>96.268387202552134</v>
      </c>
      <c r="BE81" s="28"/>
      <c r="BF81" s="29"/>
    </row>
    <row r="82" spans="1:58" x14ac:dyDescent="0.2">
      <c r="A82" s="2"/>
      <c r="G82">
        <v>73</v>
      </c>
      <c r="H82">
        <f t="shared" si="55"/>
        <v>7.3</v>
      </c>
      <c r="I82" s="407">
        <f t="shared" si="76"/>
        <v>0.40319841269841272</v>
      </c>
      <c r="J82" s="408">
        <f t="shared" si="56"/>
        <v>6.6499738205467365</v>
      </c>
      <c r="K82" s="408">
        <f t="shared" si="77"/>
        <v>10.624986910273368</v>
      </c>
      <c r="L82" s="408">
        <f t="shared" si="78"/>
        <v>3.9750130897266316</v>
      </c>
      <c r="M82" s="63">
        <f t="shared" si="57"/>
        <v>0</v>
      </c>
      <c r="N82" s="407">
        <f t="shared" si="58"/>
        <v>7.548190466451528</v>
      </c>
      <c r="O82" s="407">
        <f t="shared" si="79"/>
        <v>0.29151965033003868</v>
      </c>
      <c r="P82">
        <f t="shared" si="59"/>
        <v>0.2</v>
      </c>
      <c r="Q82" s="407">
        <f t="shared" si="80"/>
        <v>0.49151965033003869</v>
      </c>
      <c r="R82" s="9">
        <f t="shared" si="87"/>
        <v>1.9196820876983114</v>
      </c>
      <c r="S82" s="9">
        <f t="shared" si="81"/>
        <v>3.6851793178297471E-3</v>
      </c>
      <c r="T82" s="9">
        <f t="shared" si="88"/>
        <v>3.6851793178297471E-3</v>
      </c>
      <c r="U82" s="407">
        <f t="shared" si="60"/>
        <v>4.7929429231064686</v>
      </c>
      <c r="V82" s="409">
        <f t="shared" si="82"/>
        <v>4.5944603728312765E-2</v>
      </c>
      <c r="W82" s="407">
        <f t="shared" si="89"/>
        <v>4.5944603728312765E-2</v>
      </c>
      <c r="X82" s="407">
        <f t="shared" si="61"/>
        <v>4.7929429231064686</v>
      </c>
      <c r="Y82" s="407">
        <f t="shared" si="83"/>
        <v>0.13783381118493829</v>
      </c>
      <c r="Z82" s="407">
        <f t="shared" si="62"/>
        <v>7.5116270868204979E-2</v>
      </c>
      <c r="AA82" s="407">
        <f t="shared" si="63"/>
        <v>6.4512E-2</v>
      </c>
      <c r="AB82" s="407">
        <f t="shared" si="64"/>
        <v>0</v>
      </c>
      <c r="AC82" s="407">
        <f t="shared" si="65"/>
        <v>0.28532764130051508</v>
      </c>
      <c r="AD82" s="407">
        <f t="shared" si="66"/>
        <v>5.831198629241964</v>
      </c>
      <c r="AE82" s="407">
        <f t="shared" si="84"/>
        <v>0.20401726472204015</v>
      </c>
      <c r="AF82" s="407">
        <f t="shared" si="67"/>
        <v>0.1009152</v>
      </c>
      <c r="AG82" s="407">
        <f t="shared" si="68"/>
        <v>0.31790404756781016</v>
      </c>
      <c r="AH82" s="407">
        <f t="shared" si="69"/>
        <v>0</v>
      </c>
      <c r="AI82">
        <f t="shared" si="70"/>
        <v>0</v>
      </c>
      <c r="AJ82" s="408">
        <f t="shared" si="71"/>
        <v>0.2025063936</v>
      </c>
      <c r="AK82">
        <f t="shared" si="85"/>
        <v>2.52E-2</v>
      </c>
      <c r="AL82" s="408">
        <f t="shared" si="72"/>
        <v>4.4160000000000005E-2</v>
      </c>
      <c r="AM82" s="408">
        <f t="shared" si="86"/>
        <v>4.9347355729984298E-2</v>
      </c>
      <c r="AN82" s="408">
        <f t="shared" si="90"/>
        <v>6.9360000000000005E-2</v>
      </c>
      <c r="AO82" s="408">
        <f t="shared" si="73"/>
        <v>1.4162475158445065</v>
      </c>
      <c r="AP82">
        <f t="shared" si="74"/>
        <v>36.5</v>
      </c>
      <c r="AQ82" s="10">
        <f t="shared" si="91"/>
        <v>0.96264800425588848</v>
      </c>
      <c r="AR82" s="63">
        <f t="shared" si="75"/>
        <v>14.266382065025754</v>
      </c>
      <c r="AS82" s="63">
        <f t="shared" si="92"/>
        <v>15.895202378390508</v>
      </c>
      <c r="AT82" s="10"/>
      <c r="AU82">
        <f t="shared" si="93"/>
        <v>96.264800425588845</v>
      </c>
      <c r="BE82" s="28"/>
      <c r="BF82" s="29"/>
    </row>
    <row r="83" spans="1:58" x14ac:dyDescent="0.2">
      <c r="A83" s="2"/>
      <c r="G83">
        <v>74</v>
      </c>
      <c r="H83">
        <f t="shared" si="55"/>
        <v>7.4</v>
      </c>
      <c r="I83" s="407">
        <f t="shared" si="76"/>
        <v>0.4032857142857143</v>
      </c>
      <c r="J83" s="408">
        <f t="shared" si="56"/>
        <v>6.6514136904761898</v>
      </c>
      <c r="K83" s="408">
        <f t="shared" si="77"/>
        <v>10.725706845238095</v>
      </c>
      <c r="L83" s="408">
        <f t="shared" si="78"/>
        <v>4.0742931547619055</v>
      </c>
      <c r="M83" s="63">
        <f t="shared" si="57"/>
        <v>0</v>
      </c>
      <c r="N83" s="407">
        <f t="shared" si="58"/>
        <v>7.6450490737571144</v>
      </c>
      <c r="O83" s="407">
        <f t="shared" si="79"/>
        <v>0.29922947588157356</v>
      </c>
      <c r="P83">
        <f t="shared" si="59"/>
        <v>0.2</v>
      </c>
      <c r="Q83" s="407">
        <f t="shared" si="80"/>
        <v>0.49922947588157357</v>
      </c>
      <c r="R83" s="9">
        <f t="shared" si="87"/>
        <v>1.9200977423439953</v>
      </c>
      <c r="S83" s="9">
        <f t="shared" si="81"/>
        <v>3.6867753401545081E-3</v>
      </c>
      <c r="T83" s="9">
        <f t="shared" si="88"/>
        <v>3.6867753401545081E-3</v>
      </c>
      <c r="U83" s="407">
        <f t="shared" si="60"/>
        <v>4.8549716313023792</v>
      </c>
      <c r="V83" s="409">
        <f t="shared" si="82"/>
        <v>4.7141499081501774E-2</v>
      </c>
      <c r="W83" s="407">
        <f t="shared" si="89"/>
        <v>4.7141499081501774E-2</v>
      </c>
      <c r="X83" s="407">
        <f t="shared" si="61"/>
        <v>4.8549716313023792</v>
      </c>
      <c r="Y83" s="407">
        <f t="shared" si="83"/>
        <v>0.14142449724450532</v>
      </c>
      <c r="Z83" s="407">
        <f t="shared" si="62"/>
        <v>7.6103964221664266E-2</v>
      </c>
      <c r="AA83" s="407">
        <f t="shared" si="63"/>
        <v>6.4512E-2</v>
      </c>
      <c r="AB83" s="407">
        <f t="shared" si="64"/>
        <v>0</v>
      </c>
      <c r="AC83" s="407">
        <f t="shared" si="65"/>
        <v>0.29025015800023385</v>
      </c>
      <c r="AD83" s="407">
        <f t="shared" si="66"/>
        <v>5.9055927559732417</v>
      </c>
      <c r="AE83" s="407">
        <f t="shared" si="84"/>
        <v>0.20925615479642176</v>
      </c>
      <c r="AF83" s="407">
        <f t="shared" si="67"/>
        <v>0.1022976</v>
      </c>
      <c r="AG83" s="407">
        <f t="shared" si="68"/>
        <v>0.32516219282768039</v>
      </c>
      <c r="AH83" s="407">
        <f t="shared" si="69"/>
        <v>0</v>
      </c>
      <c r="AI83">
        <f t="shared" si="70"/>
        <v>0</v>
      </c>
      <c r="AJ83" s="408">
        <f t="shared" si="71"/>
        <v>0.2024967168</v>
      </c>
      <c r="AK83">
        <f t="shared" si="85"/>
        <v>2.52E-2</v>
      </c>
      <c r="AL83" s="408">
        <f t="shared" si="72"/>
        <v>4.4160000000000005E-2</v>
      </c>
      <c r="AM83" s="408">
        <f t="shared" si="86"/>
        <v>4.9347355729984298E-2</v>
      </c>
      <c r="AN83" s="408">
        <f t="shared" si="90"/>
        <v>6.9360000000000005E-2</v>
      </c>
      <c r="AO83" s="408">
        <f t="shared" si="73"/>
        <v>1.4373268179311443</v>
      </c>
      <c r="AP83">
        <f t="shared" si="74"/>
        <v>37</v>
      </c>
      <c r="AQ83" s="10">
        <f t="shared" si="91"/>
        <v>0.96260596308532498</v>
      </c>
      <c r="AR83" s="63">
        <f t="shared" si="75"/>
        <v>14.512507900011693</v>
      </c>
      <c r="AS83" s="63">
        <f t="shared" si="92"/>
        <v>16.258109641384021</v>
      </c>
      <c r="AT83" s="10"/>
      <c r="AU83">
        <f t="shared" si="93"/>
        <v>96.260596308532499</v>
      </c>
      <c r="BE83" s="28"/>
      <c r="BF83" s="29"/>
    </row>
    <row r="84" spans="1:58" x14ac:dyDescent="0.2">
      <c r="G84">
        <v>75</v>
      </c>
      <c r="H84">
        <f t="shared" si="55"/>
        <v>7.5</v>
      </c>
      <c r="I84" s="407">
        <f t="shared" si="76"/>
        <v>0.40337301587301583</v>
      </c>
      <c r="J84" s="408">
        <f t="shared" si="56"/>
        <v>6.6528535604056422</v>
      </c>
      <c r="K84" s="408">
        <f t="shared" si="77"/>
        <v>10.826426780202821</v>
      </c>
      <c r="L84" s="408">
        <f t="shared" si="78"/>
        <v>4.1735732197971789</v>
      </c>
      <c r="M84" s="63">
        <f t="shared" si="57"/>
        <v>0</v>
      </c>
      <c r="N84" s="407">
        <f t="shared" si="58"/>
        <v>7.7419875812362831</v>
      </c>
      <c r="O84" s="407">
        <f t="shared" si="79"/>
        <v>0.30705357506673431</v>
      </c>
      <c r="P84">
        <f t="shared" si="59"/>
        <v>0.2</v>
      </c>
      <c r="Q84" s="407">
        <f t="shared" si="80"/>
        <v>0.50705357506673432</v>
      </c>
      <c r="R84" s="9">
        <f t="shared" si="87"/>
        <v>1.920513396989679</v>
      </c>
      <c r="S84" s="9">
        <f t="shared" si="81"/>
        <v>3.6883717080168363E-3</v>
      </c>
      <c r="T84" s="9">
        <f t="shared" si="88"/>
        <v>3.6883717080168363E-3</v>
      </c>
      <c r="U84" s="407">
        <f t="shared" si="60"/>
        <v>4.9170643439333386</v>
      </c>
      <c r="V84" s="409">
        <f t="shared" si="82"/>
        <v>4.8355043524761186E-2</v>
      </c>
      <c r="W84" s="407">
        <f t="shared" si="89"/>
        <v>4.8355043524761186E-2</v>
      </c>
      <c r="X84" s="407">
        <f t="shared" si="61"/>
        <v>4.9170643439333386</v>
      </c>
      <c r="Y84" s="407">
        <f t="shared" si="83"/>
        <v>0.14506513057428355</v>
      </c>
      <c r="Z84" s="407">
        <f t="shared" si="62"/>
        <v>7.7091657575123526E-2</v>
      </c>
      <c r="AA84" s="407">
        <f t="shared" si="63"/>
        <v>6.4512E-2</v>
      </c>
      <c r="AB84" s="407">
        <f t="shared" si="64"/>
        <v>0</v>
      </c>
      <c r="AC84" s="407">
        <f t="shared" si="65"/>
        <v>0.29523443244802661</v>
      </c>
      <c r="AD84" s="407">
        <f t="shared" si="66"/>
        <v>5.9800376207542572</v>
      </c>
      <c r="AE84" s="407">
        <f t="shared" si="84"/>
        <v>0.21456509967381743</v>
      </c>
      <c r="AF84" s="407">
        <f t="shared" si="67"/>
        <v>0.10367999999999999</v>
      </c>
      <c r="AG84" s="407">
        <f t="shared" si="68"/>
        <v>0.33251429212016376</v>
      </c>
      <c r="AH84" s="407">
        <f t="shared" si="69"/>
        <v>0</v>
      </c>
      <c r="AI84">
        <f t="shared" si="70"/>
        <v>0</v>
      </c>
      <c r="AJ84" s="408">
        <f t="shared" si="71"/>
        <v>0.20248704000000001</v>
      </c>
      <c r="AK84">
        <f t="shared" si="85"/>
        <v>2.52E-2</v>
      </c>
      <c r="AL84" s="408">
        <f t="shared" si="72"/>
        <v>4.4160000000000005E-2</v>
      </c>
      <c r="AM84" s="408">
        <f t="shared" si="86"/>
        <v>4.9347355729984298E-2</v>
      </c>
      <c r="AN84" s="408">
        <f t="shared" si="90"/>
        <v>6.9360000000000005E-2</v>
      </c>
      <c r="AO84" s="408">
        <f t="shared" si="73"/>
        <v>1.4586927548677029</v>
      </c>
      <c r="AP84">
        <f t="shared" si="74"/>
        <v>37.5</v>
      </c>
      <c r="AQ84" s="10">
        <f t="shared" si="91"/>
        <v>0.96255796455887377</v>
      </c>
      <c r="AR84" s="63">
        <f t="shared" si="75"/>
        <v>14.76172162240133</v>
      </c>
      <c r="AS84" s="63">
        <f t="shared" si="92"/>
        <v>16.625714606008188</v>
      </c>
      <c r="AT84" s="10"/>
      <c r="AU84">
        <f t="shared" si="93"/>
        <v>96.255796455887378</v>
      </c>
      <c r="BE84" s="28"/>
      <c r="BF84" s="29"/>
    </row>
    <row r="85" spans="1:58" x14ac:dyDescent="0.2">
      <c r="G85">
        <v>76</v>
      </c>
      <c r="H85">
        <f t="shared" si="55"/>
        <v>7.6</v>
      </c>
      <c r="I85" s="407">
        <f t="shared" si="76"/>
        <v>0.40346031746031752</v>
      </c>
      <c r="J85" s="408">
        <f t="shared" si="56"/>
        <v>6.6542934303350973</v>
      </c>
      <c r="K85" s="408">
        <f t="shared" si="77"/>
        <v>10.927146715167549</v>
      </c>
      <c r="L85" s="408">
        <f t="shared" si="78"/>
        <v>4.2728532848324505</v>
      </c>
      <c r="M85" s="63">
        <f t="shared" si="57"/>
        <v>0</v>
      </c>
      <c r="N85" s="407">
        <f t="shared" si="58"/>
        <v>7.8390030247102684</v>
      </c>
      <c r="O85" s="407">
        <f t="shared" si="79"/>
        <v>0.31499235009357901</v>
      </c>
      <c r="P85">
        <f t="shared" si="59"/>
        <v>0.2</v>
      </c>
      <c r="Q85" s="407">
        <f t="shared" si="80"/>
        <v>0.51499235009357902</v>
      </c>
      <c r="R85" s="9">
        <f t="shared" si="87"/>
        <v>1.9209290516353634</v>
      </c>
      <c r="S85" s="9">
        <f t="shared" si="81"/>
        <v>3.6899684214167366E-3</v>
      </c>
      <c r="T85" s="9">
        <f t="shared" si="88"/>
        <v>3.6899684214167366E-3</v>
      </c>
      <c r="U85" s="407">
        <f t="shared" si="60"/>
        <v>4.9792191925272062</v>
      </c>
      <c r="V85" s="409">
        <f t="shared" si="82"/>
        <v>4.958524753446257E-2</v>
      </c>
      <c r="W85" s="407">
        <f t="shared" si="89"/>
        <v>4.958524753446257E-2</v>
      </c>
      <c r="X85" s="407">
        <f t="shared" si="61"/>
        <v>4.9792191925272062</v>
      </c>
      <c r="Y85" s="407">
        <f t="shared" si="83"/>
        <v>0.1487557426033877</v>
      </c>
      <c r="Z85" s="407">
        <f t="shared" si="62"/>
        <v>7.8079350928582786E-2</v>
      </c>
      <c r="AA85" s="407">
        <f t="shared" si="63"/>
        <v>6.4512E-2</v>
      </c>
      <c r="AB85" s="407">
        <f t="shared" si="64"/>
        <v>0</v>
      </c>
      <c r="AC85" s="407">
        <f t="shared" si="65"/>
        <v>0.30028079197183111</v>
      </c>
      <c r="AD85" s="407">
        <f t="shared" si="66"/>
        <v>6.0545309194177426</v>
      </c>
      <c r="AE85" s="407">
        <f t="shared" si="84"/>
        <v>0.21994406792511276</v>
      </c>
      <c r="AF85" s="407">
        <f t="shared" si="67"/>
        <v>0.10506239999999999</v>
      </c>
      <c r="AG85" s="407">
        <f t="shared" si="68"/>
        <v>0.33996094663272758</v>
      </c>
      <c r="AH85" s="407">
        <f t="shared" si="69"/>
        <v>0</v>
      </c>
      <c r="AI85">
        <f t="shared" si="70"/>
        <v>0</v>
      </c>
      <c r="AJ85" s="408">
        <f t="shared" si="71"/>
        <v>0.20247736319999998</v>
      </c>
      <c r="AK85">
        <f t="shared" si="85"/>
        <v>2.52E-2</v>
      </c>
      <c r="AL85" s="408">
        <f t="shared" si="72"/>
        <v>4.4160000000000005E-2</v>
      </c>
      <c r="AM85" s="408">
        <f t="shared" si="86"/>
        <v>4.9347355729984298E-2</v>
      </c>
      <c r="AN85" s="408">
        <f t="shared" si="90"/>
        <v>6.9360000000000005E-2</v>
      </c>
      <c r="AO85" s="408">
        <f t="shared" si="73"/>
        <v>1.4803466678540171</v>
      </c>
      <c r="AP85">
        <f t="shared" si="74"/>
        <v>38</v>
      </c>
      <c r="AQ85" s="10">
        <f t="shared" si="91"/>
        <v>0.96250421303774025</v>
      </c>
      <c r="AR85" s="63">
        <f t="shared" si="75"/>
        <v>15.014039598591555</v>
      </c>
      <c r="AS85" s="63">
        <f t="shared" si="92"/>
        <v>16.998047331636378</v>
      </c>
      <c r="AT85" s="10"/>
      <c r="AU85">
        <f t="shared" si="93"/>
        <v>96.250421303774019</v>
      </c>
      <c r="BE85" s="28"/>
      <c r="BF85" s="29"/>
    </row>
    <row r="86" spans="1:58" x14ac:dyDescent="0.2">
      <c r="G86">
        <v>77</v>
      </c>
      <c r="H86">
        <f t="shared" si="55"/>
        <v>7.7</v>
      </c>
      <c r="I86" s="407">
        <f t="shared" si="76"/>
        <v>0.40354761904761904</v>
      </c>
      <c r="J86" s="408">
        <f t="shared" si="56"/>
        <v>6.6557333002645489</v>
      </c>
      <c r="K86" s="408">
        <f t="shared" si="77"/>
        <v>11.027866650132275</v>
      </c>
      <c r="L86" s="408">
        <f t="shared" si="78"/>
        <v>4.3721333498677257</v>
      </c>
      <c r="M86" s="63">
        <f t="shared" si="57"/>
        <v>0</v>
      </c>
      <c r="N86" s="407">
        <f t="shared" si="58"/>
        <v>7.9360925826475972</v>
      </c>
      <c r="O86" s="407">
        <f t="shared" si="79"/>
        <v>0.32304620980825866</v>
      </c>
      <c r="P86">
        <f t="shared" si="59"/>
        <v>0.2</v>
      </c>
      <c r="Q86" s="407">
        <f t="shared" si="80"/>
        <v>0.52304620980825867</v>
      </c>
      <c r="R86" s="9">
        <f t="shared" si="87"/>
        <v>1.9213447062810469</v>
      </c>
      <c r="S86" s="9">
        <f t="shared" si="81"/>
        <v>3.6915654803542025E-3</v>
      </c>
      <c r="T86" s="9">
        <f t="shared" si="88"/>
        <v>3.6915654803542025E-3</v>
      </c>
      <c r="U86" s="407">
        <f t="shared" si="60"/>
        <v>5.0414343984116918</v>
      </c>
      <c r="V86" s="409">
        <f t="shared" si="82"/>
        <v>5.0832121586977315E-2</v>
      </c>
      <c r="W86" s="407">
        <f t="shared" si="89"/>
        <v>5.0832121586977315E-2</v>
      </c>
      <c r="X86" s="407">
        <f t="shared" si="61"/>
        <v>5.0414343984116918</v>
      </c>
      <c r="Y86" s="407">
        <f t="shared" si="83"/>
        <v>0.15249636476093195</v>
      </c>
      <c r="Z86" s="407">
        <f t="shared" si="62"/>
        <v>7.9067044282042059E-2</v>
      </c>
      <c r="AA86" s="407">
        <f t="shared" si="63"/>
        <v>6.4512E-2</v>
      </c>
      <c r="AB86" s="407">
        <f t="shared" si="64"/>
        <v>0</v>
      </c>
      <c r="AC86" s="407">
        <f t="shared" si="65"/>
        <v>0.30538956886039781</v>
      </c>
      <c r="AD86" s="407">
        <f t="shared" si="66"/>
        <v>6.1290704586311904</v>
      </c>
      <c r="AE86" s="407">
        <f t="shared" si="84"/>
        <v>0.22539302812119333</v>
      </c>
      <c r="AF86" s="407">
        <f t="shared" si="67"/>
        <v>0.10644479999999999</v>
      </c>
      <c r="AG86" s="407">
        <f t="shared" si="68"/>
        <v>0.34750276836986987</v>
      </c>
      <c r="AH86" s="407">
        <f t="shared" si="69"/>
        <v>0</v>
      </c>
      <c r="AI86">
        <f t="shared" si="70"/>
        <v>0</v>
      </c>
      <c r="AJ86" s="408">
        <f t="shared" si="71"/>
        <v>0.20246768639999999</v>
      </c>
      <c r="AK86">
        <f t="shared" si="85"/>
        <v>2.52E-2</v>
      </c>
      <c r="AL86" s="408">
        <f t="shared" si="72"/>
        <v>4.4160000000000005E-2</v>
      </c>
      <c r="AM86" s="408">
        <f t="shared" si="86"/>
        <v>4.9347355729984298E-2</v>
      </c>
      <c r="AN86" s="408">
        <f t="shared" si="90"/>
        <v>6.9360000000000005E-2</v>
      </c>
      <c r="AO86" s="408">
        <f t="shared" si="73"/>
        <v>1.502289920505858</v>
      </c>
      <c r="AP86">
        <f t="shared" si="74"/>
        <v>38.5</v>
      </c>
      <c r="AQ86" s="10">
        <f t="shared" si="91"/>
        <v>0.9624449019420821</v>
      </c>
      <c r="AR86" s="63">
        <f t="shared" si="75"/>
        <v>15.26947844301989</v>
      </c>
      <c r="AS86" s="63">
        <f t="shared" si="92"/>
        <v>17.375138418493492</v>
      </c>
      <c r="AT86" s="10"/>
      <c r="AU86">
        <f t="shared" si="93"/>
        <v>96.244490194208211</v>
      </c>
      <c r="BE86" s="28"/>
      <c r="BF86" s="29"/>
    </row>
    <row r="87" spans="1:58" x14ac:dyDescent="0.2">
      <c r="G87">
        <v>78</v>
      </c>
      <c r="H87">
        <f t="shared" si="55"/>
        <v>7.8000000000000007</v>
      </c>
      <c r="I87" s="407">
        <f t="shared" si="76"/>
        <v>0.40363492063492062</v>
      </c>
      <c r="J87" s="408">
        <f t="shared" si="56"/>
        <v>6.6571731701940022</v>
      </c>
      <c r="K87" s="408">
        <f t="shared" si="77"/>
        <v>11.128586585097002</v>
      </c>
      <c r="L87" s="408">
        <f t="shared" si="78"/>
        <v>4.4714134149029992</v>
      </c>
      <c r="M87" s="63">
        <f t="shared" si="57"/>
        <v>0</v>
      </c>
      <c r="N87" s="407">
        <f t="shared" si="58"/>
        <v>8.0332535678160468</v>
      </c>
      <c r="O87" s="407">
        <f t="shared" si="79"/>
        <v>0.33121556974919275</v>
      </c>
      <c r="P87">
        <f t="shared" si="59"/>
        <v>0.2</v>
      </c>
      <c r="Q87" s="407">
        <f t="shared" si="80"/>
        <v>0.53121556974919271</v>
      </c>
      <c r="R87" s="9">
        <f t="shared" si="87"/>
        <v>1.9217603609267309</v>
      </c>
      <c r="S87" s="9">
        <f t="shared" si="81"/>
        <v>3.6931628848292388E-3</v>
      </c>
      <c r="T87" s="9">
        <f t="shared" si="88"/>
        <v>3.6931628848292388E-3</v>
      </c>
      <c r="U87" s="407">
        <f t="shared" si="60"/>
        <v>5.1037082674598926</v>
      </c>
      <c r="V87" s="409">
        <f t="shared" si="82"/>
        <v>5.2095676158676919E-2</v>
      </c>
      <c r="W87" s="407">
        <f t="shared" si="89"/>
        <v>5.2095676158676919E-2</v>
      </c>
      <c r="X87" s="407">
        <f t="shared" si="61"/>
        <v>5.1037082674598926</v>
      </c>
      <c r="Y87" s="407">
        <f t="shared" si="83"/>
        <v>0.15628702847603076</v>
      </c>
      <c r="Z87" s="407">
        <f t="shared" si="62"/>
        <v>8.0054737635501333E-2</v>
      </c>
      <c r="AA87" s="407">
        <f t="shared" si="63"/>
        <v>6.4512E-2</v>
      </c>
      <c r="AB87" s="407">
        <f t="shared" si="64"/>
        <v>0</v>
      </c>
      <c r="AC87" s="407">
        <f t="shared" si="65"/>
        <v>0.31056110042052615</v>
      </c>
      <c r="AD87" s="407">
        <f t="shared" si="66"/>
        <v>6.2036541494099096</v>
      </c>
      <c r="AE87" s="407">
        <f t="shared" si="84"/>
        <v>0.23091194883294475</v>
      </c>
      <c r="AF87" s="407">
        <f t="shared" si="67"/>
        <v>0.10782720000000001</v>
      </c>
      <c r="AG87" s="407">
        <f t="shared" si="68"/>
        <v>0.35514038029770817</v>
      </c>
      <c r="AH87" s="407">
        <f t="shared" si="69"/>
        <v>0</v>
      </c>
      <c r="AI87">
        <f t="shared" si="70"/>
        <v>0</v>
      </c>
      <c r="AJ87" s="408">
        <f t="shared" si="71"/>
        <v>0.20245800960000002</v>
      </c>
      <c r="AK87">
        <f t="shared" si="85"/>
        <v>2.52E-2</v>
      </c>
      <c r="AL87" s="408">
        <f t="shared" si="72"/>
        <v>4.4160000000000005E-2</v>
      </c>
      <c r="AM87" s="408">
        <f t="shared" si="86"/>
        <v>4.9347355729984298E-2</v>
      </c>
      <c r="AN87" s="408">
        <f t="shared" si="90"/>
        <v>6.9360000000000005E-2</v>
      </c>
      <c r="AO87" s="408">
        <f t="shared" si="73"/>
        <v>1.5245238991109333</v>
      </c>
      <c r="AP87">
        <f t="shared" si="74"/>
        <v>39</v>
      </c>
      <c r="AQ87" s="10">
        <f t="shared" si="91"/>
        <v>0.96238021443740196</v>
      </c>
      <c r="AR87" s="63">
        <f t="shared" si="75"/>
        <v>15.528055021026308</v>
      </c>
      <c r="AS87" s="63">
        <f t="shared" si="92"/>
        <v>17.757019014885408</v>
      </c>
      <c r="AT87" s="10"/>
      <c r="AU87">
        <f t="shared" si="93"/>
        <v>96.238021443740195</v>
      </c>
      <c r="BE87" s="28"/>
      <c r="BF87" s="29"/>
    </row>
    <row r="88" spans="1:58" x14ac:dyDescent="0.2">
      <c r="G88">
        <v>79</v>
      </c>
      <c r="H88">
        <f t="shared" si="55"/>
        <v>7.9</v>
      </c>
      <c r="I88" s="407">
        <f t="shared" si="76"/>
        <v>0.4037222222222222</v>
      </c>
      <c r="J88" s="408">
        <f t="shared" si="56"/>
        <v>6.6586130401234556</v>
      </c>
      <c r="K88" s="408">
        <f t="shared" si="77"/>
        <v>11.229306520061728</v>
      </c>
      <c r="L88" s="408">
        <f t="shared" si="78"/>
        <v>4.5706934799382726</v>
      </c>
      <c r="M88" s="63">
        <f t="shared" si="57"/>
        <v>0</v>
      </c>
      <c r="N88" s="407">
        <f t="shared" si="58"/>
        <v>8.1304834195047615</v>
      </c>
      <c r="O88" s="407">
        <f t="shared" si="79"/>
        <v>0.33950085220227161</v>
      </c>
      <c r="P88">
        <f t="shared" si="59"/>
        <v>0.2</v>
      </c>
      <c r="Q88" s="407">
        <f t="shared" si="80"/>
        <v>0.53950085220227162</v>
      </c>
      <c r="R88" s="9">
        <f t="shared" si="87"/>
        <v>1.9221760155724148</v>
      </c>
      <c r="S88" s="9">
        <f t="shared" si="81"/>
        <v>3.6947606348418441E-3</v>
      </c>
      <c r="T88" s="9">
        <f t="shared" si="88"/>
        <v>3.6947606348418441E-3</v>
      </c>
      <c r="U88" s="407">
        <f t="shared" si="60"/>
        <v>5.1660391851946326</v>
      </c>
      <c r="V88" s="409">
        <f t="shared" si="82"/>
        <v>5.3375921725932848E-2</v>
      </c>
      <c r="W88" s="407">
        <f t="shared" si="89"/>
        <v>5.3375921725932848E-2</v>
      </c>
      <c r="X88" s="407">
        <f t="shared" si="61"/>
        <v>5.1660391851946326</v>
      </c>
      <c r="Y88" s="407">
        <f t="shared" si="83"/>
        <v>0.16012776517779856</v>
      </c>
      <c r="Z88" s="407">
        <f t="shared" si="62"/>
        <v>8.1042430988960606E-2</v>
      </c>
      <c r="AA88" s="407">
        <f t="shared" si="63"/>
        <v>6.4512E-2</v>
      </c>
      <c r="AB88" s="407">
        <f t="shared" si="64"/>
        <v>0</v>
      </c>
      <c r="AC88" s="407">
        <f t="shared" si="65"/>
        <v>0.31579572903538516</v>
      </c>
      <c r="AD88" s="407">
        <f t="shared" si="66"/>
        <v>6.2782800010731767</v>
      </c>
      <c r="AE88" s="407">
        <f t="shared" si="84"/>
        <v>0.23650079863125248</v>
      </c>
      <c r="AF88" s="407">
        <f t="shared" si="67"/>
        <v>0.1092096</v>
      </c>
      <c r="AG88" s="407">
        <f t="shared" si="68"/>
        <v>0.36287441649188873</v>
      </c>
      <c r="AH88" s="407">
        <f t="shared" si="69"/>
        <v>0</v>
      </c>
      <c r="AI88">
        <f t="shared" si="70"/>
        <v>0</v>
      </c>
      <c r="AJ88" s="408">
        <f t="shared" si="71"/>
        <v>0.20244833279999999</v>
      </c>
      <c r="AK88">
        <f t="shared" si="85"/>
        <v>2.52E-2</v>
      </c>
      <c r="AL88" s="408">
        <f t="shared" si="72"/>
        <v>4.4160000000000005E-2</v>
      </c>
      <c r="AM88" s="408">
        <f t="shared" si="86"/>
        <v>4.9347355729984298E-2</v>
      </c>
      <c r="AN88" s="408">
        <f t="shared" si="90"/>
        <v>6.9360000000000005E-2</v>
      </c>
      <c r="AO88" s="408">
        <f t="shared" si="73"/>
        <v>1.5470500128903202</v>
      </c>
      <c r="AP88">
        <f t="shared" si="74"/>
        <v>39.5</v>
      </c>
      <c r="AQ88" s="10">
        <f t="shared" si="91"/>
        <v>0.9623103240694646</v>
      </c>
      <c r="AR88" s="63">
        <f t="shared" si="75"/>
        <v>15.789786451769258</v>
      </c>
      <c r="AS88" s="63">
        <f t="shared" si="92"/>
        <v>18.143720824594435</v>
      </c>
      <c r="AT88" s="10"/>
      <c r="AU88">
        <f t="shared" si="93"/>
        <v>96.231032406946454</v>
      </c>
      <c r="BE88" s="28"/>
      <c r="BF88" s="29"/>
    </row>
    <row r="89" spans="1:58" x14ac:dyDescent="0.2">
      <c r="G89">
        <v>80</v>
      </c>
      <c r="H89">
        <f t="shared" si="55"/>
        <v>8</v>
      </c>
      <c r="I89" s="407">
        <f t="shared" si="76"/>
        <v>0.40380952380952384</v>
      </c>
      <c r="J89" s="408">
        <f t="shared" si="56"/>
        <v>6.6600529100529098</v>
      </c>
      <c r="K89" s="408">
        <f t="shared" si="77"/>
        <v>11.330026455026456</v>
      </c>
      <c r="L89" s="408">
        <f t="shared" si="78"/>
        <v>4.6699735449735451</v>
      </c>
      <c r="M89" s="63">
        <f t="shared" si="57"/>
        <v>0</v>
      </c>
      <c r="N89" s="407">
        <f t="shared" si="58"/>
        <v>8.2277796962723801</v>
      </c>
      <c r="O89" s="407">
        <f t="shared" si="79"/>
        <v>0.34790248625710257</v>
      </c>
      <c r="P89">
        <f t="shared" si="59"/>
        <v>0.2</v>
      </c>
      <c r="Q89" s="407">
        <f t="shared" si="80"/>
        <v>0.54790248625710258</v>
      </c>
      <c r="R89" s="9">
        <f t="shared" si="87"/>
        <v>1.922591670218099</v>
      </c>
      <c r="S89" s="9">
        <f t="shared" si="81"/>
        <v>3.6963587303920193E-3</v>
      </c>
      <c r="T89" s="9">
        <f t="shared" si="88"/>
        <v>3.6963587303920193E-3</v>
      </c>
      <c r="U89" s="407">
        <f t="shared" si="60"/>
        <v>5.2284256122238464</v>
      </c>
      <c r="V89" s="409">
        <f t="shared" si="82"/>
        <v>5.4672868765116608E-2</v>
      </c>
      <c r="W89" s="407">
        <f t="shared" si="89"/>
        <v>5.4672868765116608E-2</v>
      </c>
      <c r="X89" s="407">
        <f t="shared" si="61"/>
        <v>5.2284256122238464</v>
      </c>
      <c r="Y89" s="407">
        <f t="shared" si="83"/>
        <v>0.16401860629534981</v>
      </c>
      <c r="Z89" s="407">
        <f t="shared" si="62"/>
        <v>8.203012434241988E-2</v>
      </c>
      <c r="AA89" s="407">
        <f t="shared" si="63"/>
        <v>6.4512E-2</v>
      </c>
      <c r="AB89" s="407">
        <f t="shared" si="64"/>
        <v>0</v>
      </c>
      <c r="AC89" s="407">
        <f t="shared" si="65"/>
        <v>0.32109380222393868</v>
      </c>
      <c r="AD89" s="407">
        <f t="shared" si="66"/>
        <v>6.3529461156091758</v>
      </c>
      <c r="AE89" s="407">
        <f t="shared" si="84"/>
        <v>0.24215954608700227</v>
      </c>
      <c r="AF89" s="407">
        <f t="shared" si="67"/>
        <v>0.110592</v>
      </c>
      <c r="AG89" s="407">
        <f t="shared" si="68"/>
        <v>0.37070552228888665</v>
      </c>
      <c r="AH89" s="407">
        <f t="shared" si="69"/>
        <v>0</v>
      </c>
      <c r="AI89">
        <f t="shared" si="70"/>
        <v>0</v>
      </c>
      <c r="AJ89" s="408">
        <f t="shared" si="71"/>
        <v>0.20243865599999999</v>
      </c>
      <c r="AK89">
        <f t="shared" si="85"/>
        <v>2.52E-2</v>
      </c>
      <c r="AL89" s="408">
        <f t="shared" si="72"/>
        <v>4.4160000000000005E-2</v>
      </c>
      <c r="AM89" s="408">
        <f t="shared" si="86"/>
        <v>4.9347355729984298E-2</v>
      </c>
      <c r="AN89" s="408">
        <f t="shared" si="90"/>
        <v>6.9360000000000005E-2</v>
      </c>
      <c r="AO89" s="408">
        <f t="shared" si="73"/>
        <v>1.5698696942654367</v>
      </c>
      <c r="AP89">
        <f t="shared" si="74"/>
        <v>40</v>
      </c>
      <c r="AQ89" s="10">
        <f t="shared" si="91"/>
        <v>0.96223539535217739</v>
      </c>
      <c r="AR89" s="63">
        <f t="shared" si="75"/>
        <v>16.054690111196933</v>
      </c>
      <c r="AS89" s="63">
        <f t="shared" si="92"/>
        <v>18.535276114444333</v>
      </c>
      <c r="AT89" s="10"/>
      <c r="AU89">
        <f t="shared" si="93"/>
        <v>96.223539535217739</v>
      </c>
      <c r="BE89" s="28"/>
      <c r="BF89" s="29"/>
    </row>
    <row r="90" spans="1:58" x14ac:dyDescent="0.2">
      <c r="G90">
        <v>81</v>
      </c>
      <c r="H90">
        <f t="shared" si="55"/>
        <v>8.1000000000000014</v>
      </c>
      <c r="I90" s="407">
        <f t="shared" si="76"/>
        <v>0.40389682539682542</v>
      </c>
      <c r="J90" s="408">
        <f t="shared" si="56"/>
        <v>6.6614927799823631</v>
      </c>
      <c r="K90" s="408">
        <f t="shared" si="77"/>
        <v>11.430746389991183</v>
      </c>
      <c r="L90" s="408">
        <f t="shared" si="78"/>
        <v>4.7692536100088194</v>
      </c>
      <c r="M90" s="63">
        <f t="shared" si="57"/>
        <v>0</v>
      </c>
      <c r="N90" s="407">
        <f t="shared" si="58"/>
        <v>8.3251400691808062</v>
      </c>
      <c r="O90" s="407">
        <f t="shared" si="79"/>
        <v>0.35642090786431085</v>
      </c>
      <c r="P90">
        <f t="shared" si="59"/>
        <v>0.2</v>
      </c>
      <c r="Q90" s="407">
        <f t="shared" si="80"/>
        <v>0.55642090786431087</v>
      </c>
      <c r="R90" s="9">
        <f t="shared" si="87"/>
        <v>1.9230073248637831</v>
      </c>
      <c r="S90" s="9">
        <f t="shared" si="81"/>
        <v>3.6979571714797635E-3</v>
      </c>
      <c r="T90" s="9">
        <f t="shared" si="88"/>
        <v>3.6979571714797635E-3</v>
      </c>
      <c r="U90" s="407">
        <f t="shared" si="60"/>
        <v>5.2908660799815976</v>
      </c>
      <c r="V90" s="409">
        <f t="shared" si="82"/>
        <v>5.5986527752599678E-2</v>
      </c>
      <c r="W90" s="407">
        <f t="shared" si="89"/>
        <v>5.5986527752599678E-2</v>
      </c>
      <c r="X90" s="407">
        <f t="shared" si="61"/>
        <v>5.2908660799815976</v>
      </c>
      <c r="Y90" s="407">
        <f t="shared" si="83"/>
        <v>0.16795958325779903</v>
      </c>
      <c r="Z90" s="407">
        <f t="shared" si="62"/>
        <v>8.3017817695879167E-2</v>
      </c>
      <c r="AA90" s="407">
        <f t="shared" si="63"/>
        <v>6.4512E-2</v>
      </c>
      <c r="AB90" s="407">
        <f t="shared" si="64"/>
        <v>0</v>
      </c>
      <c r="AC90" s="407">
        <f t="shared" si="65"/>
        <v>0.32645567270149572</v>
      </c>
      <c r="AD90" s="407">
        <f t="shared" si="66"/>
        <v>6.4276506824173305</v>
      </c>
      <c r="AE90" s="407">
        <f t="shared" si="84"/>
        <v>0.24788815977107984</v>
      </c>
      <c r="AF90" s="407">
        <f t="shared" si="67"/>
        <v>0.11197440000000002</v>
      </c>
      <c r="AG90" s="407">
        <f t="shared" si="68"/>
        <v>0.37863435444076632</v>
      </c>
      <c r="AH90" s="407">
        <f t="shared" si="69"/>
        <v>0</v>
      </c>
      <c r="AI90">
        <f t="shared" si="70"/>
        <v>0</v>
      </c>
      <c r="AJ90" s="408">
        <f t="shared" si="71"/>
        <v>0.2024289792</v>
      </c>
      <c r="AK90">
        <f t="shared" si="85"/>
        <v>2.52E-2</v>
      </c>
      <c r="AL90" s="408">
        <f t="shared" si="72"/>
        <v>4.4160000000000005E-2</v>
      </c>
      <c r="AM90" s="408">
        <f t="shared" si="86"/>
        <v>4.9347355729984298E-2</v>
      </c>
      <c r="AN90" s="408">
        <f t="shared" si="90"/>
        <v>6.9360000000000005E-2</v>
      </c>
      <c r="AO90" s="408">
        <f t="shared" si="73"/>
        <v>1.5929843991306525</v>
      </c>
      <c r="AP90">
        <f t="shared" si="74"/>
        <v>40.500000000000007</v>
      </c>
      <c r="AQ90" s="10">
        <f t="shared" si="91"/>
        <v>0.96215558431244064</v>
      </c>
      <c r="AR90" s="63">
        <f t="shared" si="75"/>
        <v>16.322783635074785</v>
      </c>
      <c r="AS90" s="63">
        <f t="shared" si="92"/>
        <v>18.931717722038314</v>
      </c>
      <c r="AT90" s="10"/>
      <c r="AU90">
        <f t="shared" si="93"/>
        <v>96.215558431244062</v>
      </c>
      <c r="BE90" s="28"/>
      <c r="BF90" s="29"/>
    </row>
    <row r="91" spans="1:58" x14ac:dyDescent="0.2">
      <c r="G91">
        <v>82</v>
      </c>
      <c r="H91">
        <f t="shared" si="55"/>
        <v>8.1999999999999993</v>
      </c>
      <c r="I91" s="407">
        <f t="shared" si="76"/>
        <v>0.403984126984127</v>
      </c>
      <c r="J91" s="408">
        <f t="shared" si="56"/>
        <v>6.6629326499118164</v>
      </c>
      <c r="K91" s="408">
        <f t="shared" si="77"/>
        <v>11.531466324955908</v>
      </c>
      <c r="L91" s="408">
        <f t="shared" si="78"/>
        <v>4.8685336750440911</v>
      </c>
      <c r="M91" s="63">
        <f t="shared" si="57"/>
        <v>0</v>
      </c>
      <c r="N91" s="407">
        <f t="shared" si="58"/>
        <v>8.4225623154777001</v>
      </c>
      <c r="O91" s="407">
        <f t="shared" si="79"/>
        <v>0.36505655989391234</v>
      </c>
      <c r="P91">
        <f t="shared" si="59"/>
        <v>0.2</v>
      </c>
      <c r="Q91" s="407">
        <f t="shared" si="80"/>
        <v>0.56505655989391235</v>
      </c>
      <c r="R91" s="9">
        <f t="shared" si="87"/>
        <v>1.9234229795094671</v>
      </c>
      <c r="S91" s="9">
        <f t="shared" si="81"/>
        <v>3.6995559581050759E-3</v>
      </c>
      <c r="T91" s="9">
        <f t="shared" si="88"/>
        <v>3.6995559581050759E-3</v>
      </c>
      <c r="U91" s="407">
        <f t="shared" si="60"/>
        <v>5.3533591867515025</v>
      </c>
      <c r="V91" s="409">
        <f t="shared" si="82"/>
        <v>5.7316909164753418E-2</v>
      </c>
      <c r="W91" s="407">
        <f t="shared" si="89"/>
        <v>5.7316909164753418E-2</v>
      </c>
      <c r="X91" s="407">
        <f t="shared" si="61"/>
        <v>5.3533591867515025</v>
      </c>
      <c r="Y91" s="407">
        <f t="shared" si="83"/>
        <v>0.17195072749426027</v>
      </c>
      <c r="Z91" s="407">
        <f t="shared" si="62"/>
        <v>8.4005511049338399E-2</v>
      </c>
      <c r="AA91" s="407">
        <f t="shared" si="63"/>
        <v>6.4512E-2</v>
      </c>
      <c r="AB91" s="407">
        <f t="shared" si="64"/>
        <v>0</v>
      </c>
      <c r="AC91" s="407">
        <f t="shared" si="65"/>
        <v>0.33188169844140469</v>
      </c>
      <c r="AD91" s="407">
        <f t="shared" si="66"/>
        <v>6.502391973399356</v>
      </c>
      <c r="AE91" s="407">
        <f t="shared" si="84"/>
        <v>0.25368660825437023</v>
      </c>
      <c r="AF91" s="407">
        <f t="shared" si="67"/>
        <v>0.11335679999999998</v>
      </c>
      <c r="AG91" s="407">
        <f t="shared" si="68"/>
        <v>0.38666158127347827</v>
      </c>
      <c r="AH91" s="407">
        <f t="shared" si="69"/>
        <v>0</v>
      </c>
      <c r="AI91">
        <f t="shared" si="70"/>
        <v>0</v>
      </c>
      <c r="AJ91" s="408">
        <f t="shared" si="71"/>
        <v>0.20241930239999997</v>
      </c>
      <c r="AK91">
        <f t="shared" si="85"/>
        <v>2.52E-2</v>
      </c>
      <c r="AL91" s="408">
        <f t="shared" si="72"/>
        <v>4.4160000000000005E-2</v>
      </c>
      <c r="AM91" s="408">
        <f t="shared" si="86"/>
        <v>4.9347355729984298E-2</v>
      </c>
      <c r="AN91" s="408">
        <f t="shared" si="90"/>
        <v>6.9360000000000005E-2</v>
      </c>
      <c r="AO91" s="408">
        <f t="shared" si="73"/>
        <v>1.6163956071316541</v>
      </c>
      <c r="AP91">
        <f t="shared" si="74"/>
        <v>41</v>
      </c>
      <c r="AQ91" s="10">
        <f t="shared" si="91"/>
        <v>0.96207103899558422</v>
      </c>
      <c r="AR91" s="63">
        <f t="shared" si="75"/>
        <v>16.594084922070234</v>
      </c>
      <c r="AS91" s="63">
        <f t="shared" si="92"/>
        <v>19.333079063673914</v>
      </c>
      <c r="AT91" s="10"/>
      <c r="AU91">
        <f t="shared" si="93"/>
        <v>96.207103899558419</v>
      </c>
      <c r="BE91" s="28"/>
      <c r="BF91" s="29"/>
    </row>
    <row r="92" spans="1:58" x14ac:dyDescent="0.2">
      <c r="G92">
        <v>83</v>
      </c>
      <c r="H92">
        <f t="shared" si="55"/>
        <v>8.2999999999999989</v>
      </c>
      <c r="I92" s="407">
        <f t="shared" si="76"/>
        <v>0.40407142857142864</v>
      </c>
      <c r="J92" s="408">
        <f t="shared" si="56"/>
        <v>6.6643725198412707</v>
      </c>
      <c r="K92" s="408">
        <f t="shared" si="77"/>
        <v>11.632186259920633</v>
      </c>
      <c r="L92" s="408">
        <f t="shared" si="78"/>
        <v>4.9678137400793636</v>
      </c>
      <c r="M92" s="63">
        <f t="shared" si="57"/>
        <v>0</v>
      </c>
      <c r="N92" s="407">
        <f t="shared" si="58"/>
        <v>8.5200443126939156</v>
      </c>
      <c r="O92" s="407">
        <f t="shared" si="79"/>
        <v>0.37380989219477456</v>
      </c>
      <c r="P92">
        <f t="shared" si="59"/>
        <v>0.2</v>
      </c>
      <c r="Q92" s="407">
        <f t="shared" si="80"/>
        <v>0.57380989219477452</v>
      </c>
      <c r="R92" s="9">
        <f t="shared" si="87"/>
        <v>1.9238386341551512</v>
      </c>
      <c r="S92" s="9">
        <f t="shared" si="81"/>
        <v>3.7011550902679578E-3</v>
      </c>
      <c r="T92" s="9">
        <f t="shared" si="88"/>
        <v>3.7011550902679578E-3</v>
      </c>
      <c r="U92" s="407">
        <f t="shared" si="60"/>
        <v>5.4159035939513087</v>
      </c>
      <c r="V92" s="409">
        <f t="shared" si="82"/>
        <v>5.8664023477949405E-2</v>
      </c>
      <c r="W92" s="407">
        <f t="shared" si="89"/>
        <v>5.8664023477949405E-2</v>
      </c>
      <c r="X92" s="407">
        <f t="shared" si="61"/>
        <v>5.4159035939513087</v>
      </c>
      <c r="Y92" s="407">
        <f t="shared" si="83"/>
        <v>0.17599207043384824</v>
      </c>
      <c r="Z92" s="407">
        <f t="shared" si="62"/>
        <v>8.4993204402797659E-2</v>
      </c>
      <c r="AA92" s="407">
        <f t="shared" si="63"/>
        <v>6.4512E-2</v>
      </c>
      <c r="AB92" s="407">
        <f t="shared" si="64"/>
        <v>0</v>
      </c>
      <c r="AC92" s="407">
        <f t="shared" si="65"/>
        <v>0.33737224273791727</v>
      </c>
      <c r="AD92" s="407">
        <f t="shared" si="66"/>
        <v>6.577168338372771</v>
      </c>
      <c r="AE92" s="407">
        <f t="shared" si="84"/>
        <v>0.25955486010775947</v>
      </c>
      <c r="AF92" s="407">
        <f t="shared" si="67"/>
        <v>0.11473919999999999</v>
      </c>
      <c r="AG92" s="407">
        <f t="shared" si="68"/>
        <v>0.39478788284876964</v>
      </c>
      <c r="AH92" s="407">
        <f t="shared" si="69"/>
        <v>0</v>
      </c>
      <c r="AI92">
        <f t="shared" si="70"/>
        <v>0</v>
      </c>
      <c r="AJ92" s="408">
        <f t="shared" si="71"/>
        <v>0.2024096256</v>
      </c>
      <c r="AK92">
        <f t="shared" si="85"/>
        <v>2.52E-2</v>
      </c>
      <c r="AL92" s="408">
        <f t="shared" si="72"/>
        <v>4.4160000000000005E-2</v>
      </c>
      <c r="AM92" s="408">
        <f t="shared" si="86"/>
        <v>4.9347355729984298E-2</v>
      </c>
      <c r="AN92" s="408">
        <f t="shared" si="90"/>
        <v>6.9360000000000005E-2</v>
      </c>
      <c r="AO92" s="408">
        <f t="shared" si="73"/>
        <v>1.640104821949679</v>
      </c>
      <c r="AP92">
        <f t="shared" si="74"/>
        <v>41.499999999999993</v>
      </c>
      <c r="AQ92" s="10">
        <f t="shared" si="91"/>
        <v>0.96198189993467076</v>
      </c>
      <c r="AR92" s="63">
        <f t="shared" si="75"/>
        <v>16.868612136895862</v>
      </c>
      <c r="AS92" s="63">
        <f t="shared" si="92"/>
        <v>19.739394142438481</v>
      </c>
      <c r="AT92" s="10"/>
      <c r="AU92">
        <f t="shared" si="93"/>
        <v>96.198189993467082</v>
      </c>
      <c r="BE92" s="28"/>
      <c r="BF92" s="29"/>
    </row>
    <row r="93" spans="1:58" x14ac:dyDescent="0.2">
      <c r="G93">
        <v>84</v>
      </c>
      <c r="H93">
        <f t="shared" si="55"/>
        <v>8.4</v>
      </c>
      <c r="I93" s="407">
        <f t="shared" si="76"/>
        <v>0.40415873015873016</v>
      </c>
      <c r="J93" s="408">
        <f t="shared" si="56"/>
        <v>6.6658123897707222</v>
      </c>
      <c r="K93" s="408">
        <f t="shared" si="77"/>
        <v>11.732906194885361</v>
      </c>
      <c r="L93" s="408">
        <f t="shared" si="78"/>
        <v>5.0670938051146397</v>
      </c>
      <c r="M93" s="63">
        <f t="shared" si="57"/>
        <v>0</v>
      </c>
      <c r="N93" s="407">
        <f t="shared" si="58"/>
        <v>8.617584033124853</v>
      </c>
      <c r="O93" s="407">
        <f t="shared" si="79"/>
        <v>0.38268136165517569</v>
      </c>
      <c r="P93">
        <f t="shared" si="59"/>
        <v>0.2</v>
      </c>
      <c r="Q93" s="407">
        <f t="shared" si="80"/>
        <v>0.5826813616551757</v>
      </c>
      <c r="R93" s="9">
        <f t="shared" si="87"/>
        <v>1.9242542888008347</v>
      </c>
      <c r="S93" s="9">
        <f t="shared" si="81"/>
        <v>3.7027545679684062E-3</v>
      </c>
      <c r="T93" s="9">
        <f t="shared" si="88"/>
        <v>3.7027545679684062E-3</v>
      </c>
      <c r="U93" s="407">
        <f t="shared" si="60"/>
        <v>5.4784980226590889</v>
      </c>
      <c r="V93" s="409">
        <f t="shared" si="82"/>
        <v>6.0027881168559095E-2</v>
      </c>
      <c r="W93" s="407">
        <f t="shared" si="89"/>
        <v>6.0027881168559095E-2</v>
      </c>
      <c r="X93" s="407">
        <f t="shared" si="61"/>
        <v>5.4784980226590889</v>
      </c>
      <c r="Y93" s="407">
        <f t="shared" si="83"/>
        <v>0.18008364350567727</v>
      </c>
      <c r="Z93" s="407">
        <f t="shared" si="62"/>
        <v>8.598089775625696E-2</v>
      </c>
      <c r="AA93" s="407">
        <f t="shared" si="63"/>
        <v>6.4512E-2</v>
      </c>
      <c r="AB93" s="407">
        <f t="shared" si="64"/>
        <v>0</v>
      </c>
      <c r="AC93" s="407">
        <f t="shared" si="65"/>
        <v>0.34292767427023674</v>
      </c>
      <c r="AD93" s="407">
        <f t="shared" si="66"/>
        <v>6.6519782007827457</v>
      </c>
      <c r="AE93" s="407">
        <f t="shared" si="84"/>
        <v>0.26549288390213316</v>
      </c>
      <c r="AF93" s="407">
        <f t="shared" si="67"/>
        <v>0.11612160000000001</v>
      </c>
      <c r="AG93" s="407">
        <f t="shared" si="68"/>
        <v>0.40301395112978095</v>
      </c>
      <c r="AH93" s="407">
        <f t="shared" si="69"/>
        <v>0</v>
      </c>
      <c r="AI93">
        <f t="shared" si="70"/>
        <v>0</v>
      </c>
      <c r="AJ93" s="408">
        <f t="shared" si="71"/>
        <v>0.20239994880000001</v>
      </c>
      <c r="AK93">
        <f t="shared" si="85"/>
        <v>2.52E-2</v>
      </c>
      <c r="AL93" s="408">
        <f t="shared" si="72"/>
        <v>4.4160000000000005E-2</v>
      </c>
      <c r="AM93" s="408">
        <f t="shared" si="86"/>
        <v>4.9347355729984298E-2</v>
      </c>
      <c r="AN93" s="408">
        <f t="shared" si="90"/>
        <v>6.9360000000000005E-2</v>
      </c>
      <c r="AO93" s="408">
        <f t="shared" si="73"/>
        <v>1.664113571591721</v>
      </c>
      <c r="AP93">
        <f t="shared" si="74"/>
        <v>42</v>
      </c>
      <c r="AQ93" s="10">
        <f t="shared" si="91"/>
        <v>0.96188830058663077</v>
      </c>
      <c r="AR93" s="63">
        <f t="shared" si="75"/>
        <v>17.146383713511838</v>
      </c>
      <c r="AS93" s="63">
        <f t="shared" si="92"/>
        <v>20.150697556489046</v>
      </c>
      <c r="AT93" s="10"/>
      <c r="AU93">
        <f t="shared" si="93"/>
        <v>96.188830058663072</v>
      </c>
      <c r="BE93" s="28"/>
      <c r="BF93" s="29"/>
    </row>
    <row r="94" spans="1:58" x14ac:dyDescent="0.2">
      <c r="G94">
        <v>85</v>
      </c>
      <c r="H94">
        <f t="shared" si="55"/>
        <v>8.5</v>
      </c>
      <c r="I94" s="407">
        <f t="shared" si="76"/>
        <v>0.4042460317460318</v>
      </c>
      <c r="J94" s="408">
        <f t="shared" si="56"/>
        <v>6.6672522597001764</v>
      </c>
      <c r="K94" s="408">
        <f t="shared" si="77"/>
        <v>11.833626129850089</v>
      </c>
      <c r="L94" s="408">
        <f t="shared" si="78"/>
        <v>5.1663738701499113</v>
      </c>
      <c r="M94" s="63">
        <f t="shared" si="57"/>
        <v>0</v>
      </c>
      <c r="N94" s="407">
        <f t="shared" si="58"/>
        <v>8.7151795386673712</v>
      </c>
      <c r="O94" s="407">
        <f t="shared" si="79"/>
        <v>0.39167143226448325</v>
      </c>
      <c r="P94">
        <f t="shared" si="59"/>
        <v>0.2</v>
      </c>
      <c r="Q94" s="407">
        <f t="shared" si="80"/>
        <v>0.59167143226448327</v>
      </c>
      <c r="R94" s="9">
        <f t="shared" si="87"/>
        <v>1.9246699434465189</v>
      </c>
      <c r="S94" s="9">
        <f t="shared" si="81"/>
        <v>3.7043543912064262E-3</v>
      </c>
      <c r="T94" s="9">
        <f t="shared" si="88"/>
        <v>3.7043543912064262E-3</v>
      </c>
      <c r="U94" s="407">
        <f t="shared" si="60"/>
        <v>5.5411412503632294</v>
      </c>
      <c r="V94" s="409">
        <f t="shared" si="82"/>
        <v>6.1408492712953948E-2</v>
      </c>
      <c r="W94" s="407">
        <f t="shared" si="89"/>
        <v>6.1408492712953948E-2</v>
      </c>
      <c r="X94" s="407">
        <f t="shared" si="61"/>
        <v>5.5411412503632294</v>
      </c>
      <c r="Y94" s="407">
        <f t="shared" si="83"/>
        <v>0.18422547813886184</v>
      </c>
      <c r="Z94" s="407">
        <f t="shared" si="62"/>
        <v>8.6968591109716206E-2</v>
      </c>
      <c r="AA94" s="407">
        <f t="shared" si="63"/>
        <v>6.4512E-2</v>
      </c>
      <c r="AB94" s="407">
        <f t="shared" si="64"/>
        <v>0</v>
      </c>
      <c r="AC94" s="407">
        <f t="shared" si="65"/>
        <v>0.34854836716777876</v>
      </c>
      <c r="AD94" s="407">
        <f t="shared" si="66"/>
        <v>6.7268200536902603</v>
      </c>
      <c r="AE94" s="407">
        <f t="shared" si="84"/>
        <v>0.2715006482083766</v>
      </c>
      <c r="AF94" s="407">
        <f t="shared" si="67"/>
        <v>0.117504</v>
      </c>
      <c r="AG94" s="407">
        <f t="shared" si="68"/>
        <v>0.41134049015041435</v>
      </c>
      <c r="AH94" s="407">
        <f t="shared" si="69"/>
        <v>0</v>
      </c>
      <c r="AI94">
        <f t="shared" si="70"/>
        <v>0</v>
      </c>
      <c r="AJ94" s="408">
        <f t="shared" si="71"/>
        <v>0.20239027199999998</v>
      </c>
      <c r="AK94">
        <f t="shared" si="85"/>
        <v>2.52E-2</v>
      </c>
      <c r="AL94" s="408">
        <f t="shared" si="72"/>
        <v>4.4160000000000005E-2</v>
      </c>
      <c r="AM94" s="408">
        <f t="shared" si="86"/>
        <v>4.9347355729984298E-2</v>
      </c>
      <c r="AN94" s="408">
        <f t="shared" si="90"/>
        <v>6.9360000000000005E-2</v>
      </c>
      <c r="AO94" s="408">
        <f t="shared" si="73"/>
        <v>1.6884234086868366</v>
      </c>
      <c r="AP94">
        <f t="shared" si="74"/>
        <v>42.5</v>
      </c>
      <c r="AQ94" s="10">
        <f t="shared" si="91"/>
        <v>0.96179036773792392</v>
      </c>
      <c r="AR94" s="63">
        <f t="shared" si="75"/>
        <v>17.427418358388937</v>
      </c>
      <c r="AS94" s="63">
        <f t="shared" si="92"/>
        <v>20.567024507520717</v>
      </c>
      <c r="AT94" s="10"/>
      <c r="AU94">
        <f t="shared" si="93"/>
        <v>96.17903677379239</v>
      </c>
      <c r="BE94" s="28"/>
      <c r="BF94" s="29"/>
    </row>
    <row r="95" spans="1:58" x14ac:dyDescent="0.2">
      <c r="G95">
        <v>86</v>
      </c>
      <c r="H95">
        <f t="shared" si="55"/>
        <v>8.6</v>
      </c>
      <c r="I95" s="407">
        <f t="shared" si="76"/>
        <v>0.40433333333333332</v>
      </c>
      <c r="J95" s="408">
        <f t="shared" si="56"/>
        <v>6.6686921296296289</v>
      </c>
      <c r="K95" s="408">
        <f t="shared" si="77"/>
        <v>11.934346064814815</v>
      </c>
      <c r="L95" s="408">
        <f t="shared" si="78"/>
        <v>5.2656539351851848</v>
      </c>
      <c r="M95" s="63">
        <f t="shared" si="57"/>
        <v>0</v>
      </c>
      <c r="N95" s="407">
        <f t="shared" si="58"/>
        <v>8.8128289759862017</v>
      </c>
      <c r="O95" s="407">
        <f t="shared" si="79"/>
        <v>0.40078057517596605</v>
      </c>
      <c r="P95">
        <f t="shared" si="59"/>
        <v>0.2</v>
      </c>
      <c r="Q95" s="407">
        <f t="shared" si="80"/>
        <v>0.60078057517596606</v>
      </c>
      <c r="R95" s="9">
        <f t="shared" si="87"/>
        <v>1.9250855980922026</v>
      </c>
      <c r="S95" s="9">
        <f t="shared" si="81"/>
        <v>3.7059545599820135E-3</v>
      </c>
      <c r="T95" s="9">
        <f t="shared" si="88"/>
        <v>3.7059545599820135E-3</v>
      </c>
      <c r="U95" s="407">
        <f t="shared" si="60"/>
        <v>5.6038321079197866</v>
      </c>
      <c r="V95" s="409">
        <f t="shared" si="82"/>
        <v>6.2805868587505434E-2</v>
      </c>
      <c r="W95" s="407">
        <f t="shared" si="89"/>
        <v>6.2805868587505434E-2</v>
      </c>
      <c r="X95" s="407">
        <f t="shared" si="61"/>
        <v>5.6038321079197866</v>
      </c>
      <c r="Y95" s="407">
        <f t="shared" si="83"/>
        <v>0.18841760576251632</v>
      </c>
      <c r="Z95" s="407">
        <f t="shared" si="62"/>
        <v>8.795628446317548E-2</v>
      </c>
      <c r="AA95" s="407">
        <f t="shared" si="63"/>
        <v>6.4512E-2</v>
      </c>
      <c r="AB95" s="407">
        <f t="shared" si="64"/>
        <v>0</v>
      </c>
      <c r="AC95" s="407">
        <f t="shared" si="65"/>
        <v>0.35423470107666499</v>
      </c>
      <c r="AD95" s="407">
        <f t="shared" si="66"/>
        <v>6.8016924560163172</v>
      </c>
      <c r="AE95" s="407">
        <f t="shared" si="84"/>
        <v>0.27757812159737572</v>
      </c>
      <c r="AF95" s="407">
        <f t="shared" si="67"/>
        <v>0.11888639999999999</v>
      </c>
      <c r="AG95" s="407">
        <f t="shared" si="68"/>
        <v>0.41976821618855581</v>
      </c>
      <c r="AH95" s="407">
        <f t="shared" si="69"/>
        <v>0</v>
      </c>
      <c r="AI95">
        <f t="shared" si="70"/>
        <v>0</v>
      </c>
      <c r="AJ95" s="408">
        <f t="shared" si="71"/>
        <v>0.20238059519999999</v>
      </c>
      <c r="AK95">
        <f t="shared" si="85"/>
        <v>2.52E-2</v>
      </c>
      <c r="AL95" s="408">
        <f t="shared" si="72"/>
        <v>4.4160000000000005E-2</v>
      </c>
      <c r="AM95" s="408">
        <f t="shared" si="86"/>
        <v>4.9347355729984298E-2</v>
      </c>
      <c r="AN95" s="408">
        <f t="shared" si="90"/>
        <v>6.9360000000000005E-2</v>
      </c>
      <c r="AO95" s="408">
        <f t="shared" si="73"/>
        <v>1.7130359107886746</v>
      </c>
      <c r="AP95">
        <f t="shared" si="74"/>
        <v>43</v>
      </c>
      <c r="AQ95" s="10">
        <f t="shared" si="91"/>
        <v>0.96168822188217051</v>
      </c>
      <c r="AR95" s="63">
        <f t="shared" si="75"/>
        <v>17.711735053833248</v>
      </c>
      <c r="AS95" s="63">
        <f t="shared" si="92"/>
        <v>20.988410809427791</v>
      </c>
      <c r="AT95" s="10"/>
      <c r="AU95">
        <f t="shared" si="93"/>
        <v>96.16882218821705</v>
      </c>
      <c r="BE95" s="28"/>
      <c r="BF95" s="29"/>
    </row>
    <row r="96" spans="1:58" x14ac:dyDescent="0.2">
      <c r="G96">
        <v>87</v>
      </c>
      <c r="H96">
        <f t="shared" si="55"/>
        <v>8.6999999999999993</v>
      </c>
      <c r="I96" s="407">
        <f t="shared" si="76"/>
        <v>0.4044206349206349</v>
      </c>
      <c r="J96" s="408">
        <f t="shared" si="56"/>
        <v>6.6701319995590822</v>
      </c>
      <c r="K96" s="408">
        <f t="shared" si="77"/>
        <v>12.03506599977954</v>
      </c>
      <c r="L96" s="408">
        <f t="shared" si="78"/>
        <v>5.3649340002204582</v>
      </c>
      <c r="M96" s="63">
        <f t="shared" si="57"/>
        <v>0</v>
      </c>
      <c r="N96" s="407">
        <f t="shared" si="58"/>
        <v>8.9105305719858876</v>
      </c>
      <c r="O96" s="407">
        <f t="shared" si="79"/>
        <v>0.41000926877075478</v>
      </c>
      <c r="P96">
        <f t="shared" si="59"/>
        <v>0.2</v>
      </c>
      <c r="Q96" s="407">
        <f t="shared" si="80"/>
        <v>0.61000926877075479</v>
      </c>
      <c r="R96" s="9">
        <f t="shared" si="87"/>
        <v>1.9255012527378865</v>
      </c>
      <c r="S96" s="9">
        <f t="shared" si="81"/>
        <v>3.7075550742951702E-3</v>
      </c>
      <c r="T96" s="9">
        <f t="shared" si="88"/>
        <v>3.7075550742951702E-3</v>
      </c>
      <c r="U96" s="407">
        <f t="shared" si="60"/>
        <v>5.6665694767021542</v>
      </c>
      <c r="V96" s="409">
        <f t="shared" si="82"/>
        <v>6.4220019268585046E-2</v>
      </c>
      <c r="W96" s="407">
        <f t="shared" si="89"/>
        <v>6.4220019268585046E-2</v>
      </c>
      <c r="X96" s="407">
        <f t="shared" si="61"/>
        <v>5.6665694767021542</v>
      </c>
      <c r="Y96" s="407">
        <f t="shared" si="83"/>
        <v>0.19266005780575515</v>
      </c>
      <c r="Z96" s="407">
        <f t="shared" si="62"/>
        <v>8.8943977816634753E-2</v>
      </c>
      <c r="AA96" s="407">
        <f t="shared" si="63"/>
        <v>6.4512E-2</v>
      </c>
      <c r="AB96" s="407">
        <f t="shared" si="64"/>
        <v>0</v>
      </c>
      <c r="AC96" s="407">
        <f t="shared" si="65"/>
        <v>0.35998706122747165</v>
      </c>
      <c r="AD96" s="407">
        <f t="shared" si="66"/>
        <v>6.876594029023571</v>
      </c>
      <c r="AE96" s="407">
        <f t="shared" si="84"/>
        <v>0.28372527264001579</v>
      </c>
      <c r="AF96" s="407">
        <f t="shared" si="67"/>
        <v>0.12026879999999998</v>
      </c>
      <c r="AG96" s="407">
        <f t="shared" si="68"/>
        <v>0.42829785794323139</v>
      </c>
      <c r="AH96" s="407">
        <f t="shared" si="69"/>
        <v>0</v>
      </c>
      <c r="AI96">
        <f t="shared" si="70"/>
        <v>0</v>
      </c>
      <c r="AJ96" s="408">
        <f t="shared" si="71"/>
        <v>0.20237091840000002</v>
      </c>
      <c r="AK96">
        <f t="shared" si="85"/>
        <v>2.52E-2</v>
      </c>
      <c r="AL96" s="408">
        <f t="shared" si="72"/>
        <v>4.4160000000000005E-2</v>
      </c>
      <c r="AM96" s="408">
        <f t="shared" si="86"/>
        <v>4.9347355729984298E-2</v>
      </c>
      <c r="AN96" s="408">
        <f t="shared" si="90"/>
        <v>6.9360000000000005E-2</v>
      </c>
      <c r="AO96" s="408">
        <f t="shared" si="73"/>
        <v>1.7379526806843382</v>
      </c>
      <c r="AP96">
        <f t="shared" si="74"/>
        <v>43.5</v>
      </c>
      <c r="AQ96" s="10">
        <f t="shared" si="91"/>
        <v>0.96158197757197783</v>
      </c>
      <c r="AR96" s="63">
        <f t="shared" si="75"/>
        <v>17.999353061373583</v>
      </c>
      <c r="AS96" s="63">
        <f t="shared" si="92"/>
        <v>21.414892897161568</v>
      </c>
      <c r="AT96" s="10"/>
      <c r="AU96">
        <f t="shared" si="93"/>
        <v>96.158197757197783</v>
      </c>
      <c r="BE96" s="28"/>
      <c r="BF96" s="29"/>
    </row>
    <row r="97" spans="7:58" x14ac:dyDescent="0.2">
      <c r="G97">
        <v>88</v>
      </c>
      <c r="H97">
        <f t="shared" si="55"/>
        <v>8.8000000000000007</v>
      </c>
      <c r="I97" s="407">
        <f t="shared" si="76"/>
        <v>0.40450793650793654</v>
      </c>
      <c r="J97" s="408">
        <f t="shared" si="56"/>
        <v>6.6715718694885355</v>
      </c>
      <c r="K97" s="408">
        <f t="shared" si="77"/>
        <v>12.135785934744268</v>
      </c>
      <c r="L97" s="408">
        <f t="shared" si="78"/>
        <v>5.4642140652557334</v>
      </c>
      <c r="M97" s="63">
        <f t="shared" si="57"/>
        <v>0</v>
      </c>
      <c r="N97" s="407">
        <f t="shared" si="58"/>
        <v>9.008282629566299</v>
      </c>
      <c r="O97" s="407">
        <f t="shared" si="79"/>
        <v>0.41935799872297025</v>
      </c>
      <c r="P97">
        <f t="shared" si="59"/>
        <v>0.2</v>
      </c>
      <c r="Q97" s="407">
        <f t="shared" si="80"/>
        <v>0.61935799872297026</v>
      </c>
      <c r="R97" s="9">
        <f t="shared" si="87"/>
        <v>1.9259169073835705</v>
      </c>
      <c r="S97" s="9">
        <f t="shared" si="81"/>
        <v>3.7091559341458961E-3</v>
      </c>
      <c r="T97" s="9">
        <f t="shared" si="88"/>
        <v>3.7091559341458961E-3</v>
      </c>
      <c r="U97" s="407">
        <f t="shared" si="60"/>
        <v>5.729352285929199</v>
      </c>
      <c r="V97" s="409">
        <f t="shared" si="82"/>
        <v>6.565095523256427E-2</v>
      </c>
      <c r="W97" s="407">
        <f t="shared" si="89"/>
        <v>6.565095523256427E-2</v>
      </c>
      <c r="X97" s="407">
        <f t="shared" si="61"/>
        <v>5.729352285929199</v>
      </c>
      <c r="Y97" s="407">
        <f t="shared" si="83"/>
        <v>0.19695286569769282</v>
      </c>
      <c r="Z97" s="407">
        <f t="shared" si="62"/>
        <v>8.9931671170094041E-2</v>
      </c>
      <c r="AA97" s="407">
        <f t="shared" si="63"/>
        <v>6.4512E-2</v>
      </c>
      <c r="AB97" s="407">
        <f t="shared" si="64"/>
        <v>0</v>
      </c>
      <c r="AC97" s="407">
        <f t="shared" si="65"/>
        <v>0.36580583850425913</v>
      </c>
      <c r="AD97" s="407">
        <f t="shared" si="66"/>
        <v>6.9515234530183232</v>
      </c>
      <c r="AE97" s="407">
        <f t="shared" si="84"/>
        <v>0.2899420699071828</v>
      </c>
      <c r="AF97" s="407">
        <f t="shared" si="67"/>
        <v>0.1216512</v>
      </c>
      <c r="AG97" s="407">
        <f t="shared" si="68"/>
        <v>0.43693015671579216</v>
      </c>
      <c r="AH97" s="407">
        <f t="shared" si="69"/>
        <v>0</v>
      </c>
      <c r="AI97">
        <f t="shared" si="70"/>
        <v>0</v>
      </c>
      <c r="AJ97" s="408">
        <f t="shared" si="71"/>
        <v>0.20236124159999999</v>
      </c>
      <c r="AK97">
        <f t="shared" si="85"/>
        <v>2.52E-2</v>
      </c>
      <c r="AL97" s="408">
        <f t="shared" si="72"/>
        <v>4.4160000000000005E-2</v>
      </c>
      <c r="AM97" s="408">
        <f t="shared" si="86"/>
        <v>4.9347355729984298E-2</v>
      </c>
      <c r="AN97" s="408">
        <f t="shared" si="90"/>
        <v>6.9360000000000005E-2</v>
      </c>
      <c r="AO97" s="408">
        <f t="shared" si="73"/>
        <v>1.7631753467097318</v>
      </c>
      <c r="AP97">
        <f t="shared" si="74"/>
        <v>44</v>
      </c>
      <c r="AQ97" s="10">
        <f t="shared" si="91"/>
        <v>0.96147174374698419</v>
      </c>
      <c r="AR97" s="63">
        <f t="shared" si="75"/>
        <v>18.290291925212955</v>
      </c>
      <c r="AS97" s="63">
        <f t="shared" si="92"/>
        <v>21.846507835789609</v>
      </c>
      <c r="AT97" s="10"/>
      <c r="AU97">
        <f t="shared" si="93"/>
        <v>96.147174374698423</v>
      </c>
      <c r="BE97" s="28"/>
      <c r="BF97" s="29"/>
    </row>
    <row r="98" spans="7:58" x14ac:dyDescent="0.2">
      <c r="G98">
        <v>89</v>
      </c>
      <c r="H98">
        <f t="shared" si="55"/>
        <v>8.9</v>
      </c>
      <c r="I98" s="407">
        <f t="shared" si="76"/>
        <v>0.40459523809523812</v>
      </c>
      <c r="J98" s="408">
        <f t="shared" si="56"/>
        <v>6.6730117394179889</v>
      </c>
      <c r="K98" s="408">
        <f t="shared" si="77"/>
        <v>12.236505869708996</v>
      </c>
      <c r="L98" s="408">
        <f t="shared" si="78"/>
        <v>5.5634941302910059</v>
      </c>
      <c r="M98" s="63">
        <f t="shared" si="57"/>
        <v>0</v>
      </c>
      <c r="N98" s="407">
        <f t="shared" si="58"/>
        <v>9.1060835236414448</v>
      </c>
      <c r="O98" s="407">
        <f t="shared" si="79"/>
        <v>0.42882725806603333</v>
      </c>
      <c r="P98">
        <f t="shared" si="59"/>
        <v>0.2</v>
      </c>
      <c r="Q98" s="407">
        <f t="shared" si="80"/>
        <v>0.62882725806603335</v>
      </c>
      <c r="R98" s="9">
        <f t="shared" si="87"/>
        <v>1.9263325620292544</v>
      </c>
      <c r="S98" s="9">
        <f t="shared" si="81"/>
        <v>3.7107571395341914E-3</v>
      </c>
      <c r="T98" s="9">
        <f t="shared" si="88"/>
        <v>3.7107571395341914E-3</v>
      </c>
      <c r="U98" s="407">
        <f t="shared" si="60"/>
        <v>5.7921795101591291</v>
      </c>
      <c r="V98" s="409">
        <f t="shared" si="82"/>
        <v>6.7098686955814502E-2</v>
      </c>
      <c r="W98" s="407">
        <f t="shared" si="89"/>
        <v>6.7098686955814502E-2</v>
      </c>
      <c r="X98" s="407">
        <f t="shared" si="61"/>
        <v>5.7921795101591291</v>
      </c>
      <c r="Y98" s="407">
        <f t="shared" si="83"/>
        <v>0.2012960608674435</v>
      </c>
      <c r="Z98" s="407">
        <f t="shared" si="62"/>
        <v>9.0919364523553314E-2</v>
      </c>
      <c r="AA98" s="407">
        <f t="shared" si="63"/>
        <v>6.4512E-2</v>
      </c>
      <c r="AB98" s="407">
        <f t="shared" si="64"/>
        <v>0</v>
      </c>
      <c r="AC98" s="407">
        <f t="shared" si="65"/>
        <v>0.37169142951490469</v>
      </c>
      <c r="AD98" s="407">
        <f t="shared" si="66"/>
        <v>7.0264794642571138</v>
      </c>
      <c r="AE98" s="407">
        <f t="shared" si="84"/>
        <v>0.29622848196976165</v>
      </c>
      <c r="AF98" s="407">
        <f t="shared" si="67"/>
        <v>0.12303360000000001</v>
      </c>
      <c r="AG98" s="407">
        <f t="shared" si="68"/>
        <v>0.44566586659520913</v>
      </c>
      <c r="AH98" s="407">
        <f t="shared" si="69"/>
        <v>0</v>
      </c>
      <c r="AI98">
        <f t="shared" si="70"/>
        <v>0</v>
      </c>
      <c r="AJ98" s="408">
        <f t="shared" si="71"/>
        <v>0.20235156479999999</v>
      </c>
      <c r="AK98">
        <f t="shared" si="85"/>
        <v>2.52E-2</v>
      </c>
      <c r="AL98" s="408">
        <f t="shared" si="72"/>
        <v>4.4160000000000005E-2</v>
      </c>
      <c r="AM98" s="408">
        <f t="shared" si="86"/>
        <v>4.9347355729984298E-2</v>
      </c>
      <c r="AN98" s="408">
        <f t="shared" si="90"/>
        <v>6.9360000000000005E-2</v>
      </c>
      <c r="AO98" s="408">
        <f t="shared" si="73"/>
        <v>1.7887055630714961</v>
      </c>
      <c r="AP98">
        <f t="shared" si="74"/>
        <v>44.5</v>
      </c>
      <c r="AQ98" s="10">
        <f t="shared" si="91"/>
        <v>0.96135762403996661</v>
      </c>
      <c r="AR98" s="63">
        <f t="shared" si="75"/>
        <v>18.584571475745236</v>
      </c>
      <c r="AS98" s="63">
        <f t="shared" si="92"/>
        <v>22.283293329760458</v>
      </c>
      <c r="AT98" s="10"/>
      <c r="AU98">
        <f t="shared" si="93"/>
        <v>96.135762403996665</v>
      </c>
      <c r="BE98" s="28"/>
      <c r="BF98" s="29"/>
    </row>
    <row r="99" spans="7:58" x14ac:dyDescent="0.2">
      <c r="G99">
        <v>90</v>
      </c>
      <c r="H99">
        <f t="shared" si="55"/>
        <v>9</v>
      </c>
      <c r="I99" s="407">
        <f t="shared" si="76"/>
        <v>0.4046825396825397</v>
      </c>
      <c r="J99" s="408">
        <f t="shared" si="56"/>
        <v>6.6744516093474413</v>
      </c>
      <c r="K99" s="408">
        <f t="shared" si="77"/>
        <v>12.337225804673722</v>
      </c>
      <c r="L99" s="408">
        <f t="shared" si="78"/>
        <v>5.6627741953262793</v>
      </c>
      <c r="M99" s="63">
        <f t="shared" si="57"/>
        <v>0</v>
      </c>
      <c r="N99" s="407">
        <f t="shared" si="58"/>
        <v>9.2039316974030214</v>
      </c>
      <c r="O99" s="407">
        <f t="shared" si="79"/>
        <v>0.43841754726017873</v>
      </c>
      <c r="P99">
        <f t="shared" si="59"/>
        <v>0.2</v>
      </c>
      <c r="Q99" s="407">
        <f t="shared" si="80"/>
        <v>0.63841754726017874</v>
      </c>
      <c r="R99" s="9">
        <f t="shared" si="87"/>
        <v>1.9267482166749381</v>
      </c>
      <c r="S99" s="9">
        <f t="shared" si="81"/>
        <v>3.7123586904600544E-3</v>
      </c>
      <c r="T99" s="9">
        <f t="shared" si="88"/>
        <v>3.7123586904600544E-3</v>
      </c>
      <c r="U99" s="407">
        <f t="shared" si="60"/>
        <v>5.8550501669373967</v>
      </c>
      <c r="V99" s="409">
        <f t="shared" si="82"/>
        <v>6.8563224914707274E-2</v>
      </c>
      <c r="W99" s="407">
        <f t="shared" si="89"/>
        <v>6.8563224914707274E-2</v>
      </c>
      <c r="X99" s="407">
        <f t="shared" si="61"/>
        <v>5.8550501669373967</v>
      </c>
      <c r="Y99" s="407">
        <f t="shared" si="83"/>
        <v>0.20568967474412184</v>
      </c>
      <c r="Z99" s="407">
        <f t="shared" si="62"/>
        <v>9.1907057877012574E-2</v>
      </c>
      <c r="AA99" s="407">
        <f t="shared" si="63"/>
        <v>6.4512E-2</v>
      </c>
      <c r="AB99" s="407">
        <f t="shared" si="64"/>
        <v>0</v>
      </c>
      <c r="AC99" s="407">
        <f t="shared" si="65"/>
        <v>0.3776442366627657</v>
      </c>
      <c r="AD99" s="407">
        <f t="shared" si="66"/>
        <v>7.1014608520435019</v>
      </c>
      <c r="AE99" s="407">
        <f t="shared" si="84"/>
        <v>0.30258447739863853</v>
      </c>
      <c r="AF99" s="407">
        <f t="shared" si="67"/>
        <v>0.124416</v>
      </c>
      <c r="AG99" s="407">
        <f t="shared" si="68"/>
        <v>0.45450575464758097</v>
      </c>
      <c r="AH99" s="407">
        <f t="shared" si="69"/>
        <v>0</v>
      </c>
      <c r="AI99">
        <f t="shared" si="70"/>
        <v>0</v>
      </c>
      <c r="AJ99" s="408">
        <f t="shared" si="71"/>
        <v>0.202341888</v>
      </c>
      <c r="AK99">
        <f t="shared" si="85"/>
        <v>2.52E-2</v>
      </c>
      <c r="AL99" s="408">
        <f t="shared" si="72"/>
        <v>4.4160000000000005E-2</v>
      </c>
      <c r="AM99" s="408">
        <f t="shared" si="86"/>
        <v>4.9347355729984298E-2</v>
      </c>
      <c r="AN99" s="408">
        <f t="shared" si="90"/>
        <v>6.9360000000000005E-2</v>
      </c>
      <c r="AO99" s="408">
        <f t="shared" si="73"/>
        <v>1.8145450101756928</v>
      </c>
      <c r="AP99">
        <f t="shared" si="74"/>
        <v>45</v>
      </c>
      <c r="AQ99" s="10">
        <f t="shared" si="91"/>
        <v>0.96123971706269329</v>
      </c>
      <c r="AR99" s="63">
        <f t="shared" si="75"/>
        <v>18.882211833138285</v>
      </c>
      <c r="AS99" s="63">
        <f t="shared" si="92"/>
        <v>22.725287732379048</v>
      </c>
      <c r="AT99" s="10"/>
      <c r="AU99">
        <f t="shared" si="93"/>
        <v>96.12397170626933</v>
      </c>
      <c r="BE99" s="28"/>
      <c r="BF99" s="29"/>
    </row>
    <row r="100" spans="7:58" x14ac:dyDescent="0.2">
      <c r="G100">
        <v>91</v>
      </c>
      <c r="H100">
        <f t="shared" si="55"/>
        <v>9.1</v>
      </c>
      <c r="I100" s="407">
        <f t="shared" si="76"/>
        <v>0.40476984126984122</v>
      </c>
      <c r="J100" s="408">
        <f t="shared" si="56"/>
        <v>6.6758914792768937</v>
      </c>
      <c r="K100" s="408">
        <f t="shared" si="77"/>
        <v>12.437945739638447</v>
      </c>
      <c r="L100" s="408">
        <f t="shared" si="78"/>
        <v>5.7620542603615528</v>
      </c>
      <c r="M100" s="63">
        <f t="shared" si="57"/>
        <v>0</v>
      </c>
      <c r="N100" s="407">
        <f t="shared" si="58"/>
        <v>9.3018256588114721</v>
      </c>
      <c r="O100" s="407">
        <f t="shared" si="79"/>
        <v>0.44812937426118432</v>
      </c>
      <c r="P100">
        <f t="shared" si="59"/>
        <v>0.2</v>
      </c>
      <c r="Q100" s="407">
        <f t="shared" si="80"/>
        <v>0.64812937426118433</v>
      </c>
      <c r="R100" s="9">
        <f t="shared" si="87"/>
        <v>1.9271638713206218</v>
      </c>
      <c r="S100" s="9">
        <f t="shared" si="81"/>
        <v>3.7139605869234865E-3</v>
      </c>
      <c r="T100" s="9">
        <f t="shared" si="88"/>
        <v>3.7139605869234865E-3</v>
      </c>
      <c r="U100" s="407">
        <f t="shared" si="60"/>
        <v>5.9179633145877988</v>
      </c>
      <c r="V100" s="409">
        <f t="shared" si="82"/>
        <v>7.0044579585614011E-2</v>
      </c>
      <c r="W100" s="407">
        <f t="shared" si="89"/>
        <v>7.0044579585614011E-2</v>
      </c>
      <c r="X100" s="407">
        <f t="shared" si="61"/>
        <v>5.9179633145877988</v>
      </c>
      <c r="Y100" s="407">
        <f t="shared" si="83"/>
        <v>0.21013373875684205</v>
      </c>
      <c r="Z100" s="407">
        <f t="shared" si="62"/>
        <v>9.2894751230471834E-2</v>
      </c>
      <c r="AA100" s="407">
        <f t="shared" si="63"/>
        <v>6.4512E-2</v>
      </c>
      <c r="AB100" s="407">
        <f t="shared" si="64"/>
        <v>0</v>
      </c>
      <c r="AC100" s="407">
        <f t="shared" si="65"/>
        <v>0.38366466821969547</v>
      </c>
      <c r="AD100" s="407">
        <f t="shared" si="66"/>
        <v>7.17646645600162</v>
      </c>
      <c r="AE100" s="407">
        <f t="shared" si="84"/>
        <v>0.30901002476469869</v>
      </c>
      <c r="AF100" s="407">
        <f t="shared" si="67"/>
        <v>0.12579839999999998</v>
      </c>
      <c r="AG100" s="407">
        <f t="shared" si="68"/>
        <v>0.46345060110993797</v>
      </c>
      <c r="AH100" s="407">
        <f t="shared" si="69"/>
        <v>0</v>
      </c>
      <c r="AI100">
        <f t="shared" si="70"/>
        <v>0</v>
      </c>
      <c r="AJ100" s="408">
        <f t="shared" si="71"/>
        <v>0.20233221119999997</v>
      </c>
      <c r="AK100">
        <f t="shared" si="85"/>
        <v>2.52E-2</v>
      </c>
      <c r="AL100" s="408">
        <f t="shared" si="72"/>
        <v>4.4160000000000005E-2</v>
      </c>
      <c r="AM100" s="408">
        <f t="shared" si="86"/>
        <v>4.9347355729984298E-2</v>
      </c>
      <c r="AN100" s="408">
        <f t="shared" si="90"/>
        <v>6.9360000000000005E-2</v>
      </c>
      <c r="AO100" s="408">
        <f t="shared" si="73"/>
        <v>1.8406953949633553</v>
      </c>
      <c r="AP100">
        <f t="shared" si="74"/>
        <v>45.5</v>
      </c>
      <c r="AQ100" s="10">
        <f t="shared" si="91"/>
        <v>0.96111811667305613</v>
      </c>
      <c r="AR100" s="63">
        <f t="shared" si="75"/>
        <v>19.183233410984773</v>
      </c>
      <c r="AS100" s="63">
        <f t="shared" si="92"/>
        <v>23.1725300554969</v>
      </c>
      <c r="AT100" s="10"/>
      <c r="AU100">
        <f t="shared" si="93"/>
        <v>96.111811667305616</v>
      </c>
      <c r="BE100" s="28"/>
      <c r="BF100" s="29"/>
    </row>
    <row r="101" spans="7:58" x14ac:dyDescent="0.2">
      <c r="G101">
        <v>92</v>
      </c>
      <c r="H101">
        <f t="shared" si="55"/>
        <v>9.2000000000000011</v>
      </c>
      <c r="I101" s="407">
        <f t="shared" si="76"/>
        <v>0.40485714285714292</v>
      </c>
      <c r="J101" s="408">
        <f t="shared" si="56"/>
        <v>6.6773313492063489</v>
      </c>
      <c r="K101" s="408">
        <f t="shared" si="77"/>
        <v>12.538665674603175</v>
      </c>
      <c r="L101" s="408">
        <f t="shared" si="78"/>
        <v>5.8613343253968271</v>
      </c>
      <c r="M101" s="63">
        <f t="shared" si="57"/>
        <v>0</v>
      </c>
      <c r="N101" s="407">
        <f t="shared" si="58"/>
        <v>9.399763977298818</v>
      </c>
      <c r="O101" s="407">
        <f t="shared" si="79"/>
        <v>0.45796325459034071</v>
      </c>
      <c r="P101">
        <f t="shared" si="59"/>
        <v>0.2</v>
      </c>
      <c r="Q101" s="407">
        <f t="shared" si="80"/>
        <v>0.65796325459034066</v>
      </c>
      <c r="R101" s="9">
        <f t="shared" si="87"/>
        <v>1.9275795259663064</v>
      </c>
      <c r="S101" s="9">
        <f t="shared" si="81"/>
        <v>3.7155628289244906E-3</v>
      </c>
      <c r="T101" s="9">
        <f t="shared" si="88"/>
        <v>3.7155628289244906E-3</v>
      </c>
      <c r="U101" s="407">
        <f t="shared" si="60"/>
        <v>5.9809180501368804</v>
      </c>
      <c r="V101" s="409">
        <f t="shared" si="82"/>
        <v>7.1542761444906289E-2</v>
      </c>
      <c r="W101" s="407">
        <f t="shared" si="89"/>
        <v>7.1542761444906289E-2</v>
      </c>
      <c r="X101" s="407">
        <f t="shared" si="61"/>
        <v>5.9809180501368804</v>
      </c>
      <c r="Y101" s="407">
        <f t="shared" si="83"/>
        <v>0.21462828433471887</v>
      </c>
      <c r="Z101" s="407">
        <f t="shared" si="62"/>
        <v>9.3882444583931121E-2</v>
      </c>
      <c r="AA101" s="407">
        <f t="shared" si="63"/>
        <v>6.4512E-2</v>
      </c>
      <c r="AB101" s="407">
        <f t="shared" si="64"/>
        <v>0</v>
      </c>
      <c r="AC101" s="407">
        <f t="shared" si="65"/>
        <v>0.38975313840044179</v>
      </c>
      <c r="AD101" s="407">
        <f t="shared" si="66"/>
        <v>7.2514951635143046</v>
      </c>
      <c r="AE101" s="407">
        <f t="shared" si="84"/>
        <v>0.31550509263882814</v>
      </c>
      <c r="AF101" s="407">
        <f t="shared" si="67"/>
        <v>0.12718080000000001</v>
      </c>
      <c r="AG101" s="407">
        <f t="shared" si="68"/>
        <v>0.47250119958845049</v>
      </c>
      <c r="AH101" s="407">
        <f t="shared" si="69"/>
        <v>0</v>
      </c>
      <c r="AI101">
        <f t="shared" si="70"/>
        <v>0</v>
      </c>
      <c r="AJ101" s="408">
        <f t="shared" si="71"/>
        <v>0.2023225344</v>
      </c>
      <c r="AK101">
        <f t="shared" si="85"/>
        <v>2.52E-2</v>
      </c>
      <c r="AL101" s="408">
        <f t="shared" si="72"/>
        <v>4.4160000000000005E-2</v>
      </c>
      <c r="AM101" s="408">
        <f t="shared" si="86"/>
        <v>4.9347355729984298E-2</v>
      </c>
      <c r="AN101" s="408">
        <f t="shared" si="90"/>
        <v>6.9360000000000005E-2</v>
      </c>
      <c r="AO101" s="408">
        <f t="shared" si="73"/>
        <v>1.8671584512530637</v>
      </c>
      <c r="AP101">
        <f t="shared" si="74"/>
        <v>46.000000000000007</v>
      </c>
      <c r="AQ101" s="10">
        <f t="shared" si="91"/>
        <v>0.96099291222489136</v>
      </c>
      <c r="AR101" s="63">
        <f t="shared" si="75"/>
        <v>19.48765692002209</v>
      </c>
      <c r="AS101" s="63">
        <f t="shared" si="92"/>
        <v>23.625059979422524</v>
      </c>
      <c r="AT101" s="10"/>
      <c r="AU101">
        <f t="shared" si="93"/>
        <v>96.099291222489143</v>
      </c>
      <c r="BE101" s="28"/>
      <c r="BF101" s="29"/>
    </row>
    <row r="102" spans="7:58" x14ac:dyDescent="0.2">
      <c r="G102">
        <v>93</v>
      </c>
      <c r="H102">
        <f t="shared" si="55"/>
        <v>9.3000000000000007</v>
      </c>
      <c r="I102" s="407">
        <f t="shared" si="76"/>
        <v>0.40494444444444444</v>
      </c>
      <c r="J102" s="408">
        <f t="shared" si="56"/>
        <v>6.6787712191358013</v>
      </c>
      <c r="K102" s="408">
        <f t="shared" si="77"/>
        <v>12.639385609567901</v>
      </c>
      <c r="L102" s="408">
        <f t="shared" si="78"/>
        <v>5.9606143904321005</v>
      </c>
      <c r="M102" s="63">
        <f t="shared" si="57"/>
        <v>0</v>
      </c>
      <c r="N102" s="407">
        <f t="shared" si="58"/>
        <v>9.4977452806686209</v>
      </c>
      <c r="O102" s="407">
        <f t="shared" si="79"/>
        <v>0.46791971140567334</v>
      </c>
      <c r="P102">
        <f t="shared" si="59"/>
        <v>0.2</v>
      </c>
      <c r="Q102" s="407">
        <f t="shared" si="80"/>
        <v>0.66791971140567341</v>
      </c>
      <c r="R102" s="9">
        <f t="shared" si="87"/>
        <v>1.9279951806119902</v>
      </c>
      <c r="S102" s="9">
        <f t="shared" si="81"/>
        <v>3.7171654164630608E-3</v>
      </c>
      <c r="T102" s="9">
        <f t="shared" si="88"/>
        <v>3.7171654164630608E-3</v>
      </c>
      <c r="U102" s="407">
        <f t="shared" si="60"/>
        <v>6.0439135073624053</v>
      </c>
      <c r="V102" s="409">
        <f t="shared" si="82"/>
        <v>7.3057780968955474E-2</v>
      </c>
      <c r="W102" s="407">
        <f t="shared" si="89"/>
        <v>7.3057780968955474E-2</v>
      </c>
      <c r="X102" s="407">
        <f t="shared" si="61"/>
        <v>6.0439135073624053</v>
      </c>
      <c r="Y102" s="407">
        <f t="shared" si="83"/>
        <v>0.21917334290686641</v>
      </c>
      <c r="Z102" s="407">
        <f t="shared" si="62"/>
        <v>9.4870137937390381E-2</v>
      </c>
      <c r="AA102" s="407">
        <f t="shared" si="63"/>
        <v>6.4512E-2</v>
      </c>
      <c r="AB102" s="407">
        <f t="shared" si="64"/>
        <v>0</v>
      </c>
      <c r="AC102" s="407">
        <f t="shared" si="65"/>
        <v>0.39591006743845042</v>
      </c>
      <c r="AD102" s="407">
        <f t="shared" si="66"/>
        <v>7.3265459073143955</v>
      </c>
      <c r="AE102" s="407">
        <f t="shared" si="84"/>
        <v>0.32206964959191192</v>
      </c>
      <c r="AF102" s="407">
        <f t="shared" si="67"/>
        <v>0.12856320000000002</v>
      </c>
      <c r="AG102" s="407">
        <f t="shared" si="68"/>
        <v>0.48165835726113382</v>
      </c>
      <c r="AH102" s="407">
        <f t="shared" si="69"/>
        <v>0</v>
      </c>
      <c r="AI102">
        <f t="shared" si="70"/>
        <v>0</v>
      </c>
      <c r="AJ102" s="408">
        <f t="shared" si="71"/>
        <v>0.20231285760000001</v>
      </c>
      <c r="AK102">
        <f t="shared" si="85"/>
        <v>2.52E-2</v>
      </c>
      <c r="AL102" s="408">
        <f t="shared" si="72"/>
        <v>4.4160000000000005E-2</v>
      </c>
      <c r="AM102" s="408">
        <f t="shared" si="86"/>
        <v>4.9347355729984298E-2</v>
      </c>
      <c r="AN102" s="408">
        <f t="shared" si="90"/>
        <v>6.9360000000000005E-2</v>
      </c>
      <c r="AO102" s="408">
        <f t="shared" si="73"/>
        <v>1.8939359400906763</v>
      </c>
      <c r="AP102">
        <f t="shared" si="74"/>
        <v>46.5</v>
      </c>
      <c r="AQ102" s="10">
        <f t="shared" si="91"/>
        <v>0.96086418880176894</v>
      </c>
      <c r="AR102" s="63">
        <f t="shared" si="75"/>
        <v>19.795503371922521</v>
      </c>
      <c r="AS102" s="63">
        <f t="shared" si="92"/>
        <v>24.082917863056689</v>
      </c>
      <c r="AT102" s="10"/>
      <c r="AU102">
        <f t="shared" si="93"/>
        <v>96.086418880176893</v>
      </c>
      <c r="BE102" s="28"/>
      <c r="BF102" s="29"/>
    </row>
    <row r="103" spans="7:58" x14ac:dyDescent="0.2">
      <c r="G103">
        <v>94</v>
      </c>
      <c r="H103">
        <f t="shared" si="55"/>
        <v>9.3999999999999986</v>
      </c>
      <c r="I103" s="407">
        <f t="shared" si="76"/>
        <v>0.40503174603174602</v>
      </c>
      <c r="J103" s="408">
        <f t="shared" si="56"/>
        <v>6.6802110890652546</v>
      </c>
      <c r="K103" s="408">
        <f t="shared" si="77"/>
        <v>12.740105544532625</v>
      </c>
      <c r="L103" s="408">
        <f t="shared" si="78"/>
        <v>6.0598944554673713</v>
      </c>
      <c r="M103" s="63">
        <f t="shared" si="57"/>
        <v>0</v>
      </c>
      <c r="N103" s="407">
        <f t="shared" si="58"/>
        <v>9.5957682521796652</v>
      </c>
      <c r="O103" s="407">
        <f t="shared" si="79"/>
        <v>0.47799927557444261</v>
      </c>
      <c r="P103">
        <f t="shared" si="59"/>
        <v>0.2</v>
      </c>
      <c r="Q103" s="407">
        <f t="shared" si="80"/>
        <v>0.67799927557444262</v>
      </c>
      <c r="R103" s="9">
        <f t="shared" si="87"/>
        <v>1.9284108352576741</v>
      </c>
      <c r="S103" s="9">
        <f t="shared" si="81"/>
        <v>3.7187683495392E-3</v>
      </c>
      <c r="T103" s="9">
        <f t="shared" si="88"/>
        <v>3.7187683495392E-3</v>
      </c>
      <c r="U103" s="407">
        <f t="shared" si="60"/>
        <v>6.1069488549574844</v>
      </c>
      <c r="V103" s="409">
        <f t="shared" si="82"/>
        <v>7.458964863413306E-2</v>
      </c>
      <c r="W103" s="407">
        <f t="shared" si="89"/>
        <v>7.458964863413306E-2</v>
      </c>
      <c r="X103" s="407">
        <f t="shared" si="61"/>
        <v>6.1069488549574844</v>
      </c>
      <c r="Y103" s="407">
        <f t="shared" si="83"/>
        <v>0.22376894590239918</v>
      </c>
      <c r="Z103" s="407">
        <f t="shared" si="62"/>
        <v>9.585783129084964E-2</v>
      </c>
      <c r="AA103" s="407">
        <f t="shared" si="63"/>
        <v>6.4512E-2</v>
      </c>
      <c r="AB103" s="407">
        <f t="shared" si="64"/>
        <v>0</v>
      </c>
      <c r="AC103" s="407">
        <f t="shared" si="65"/>
        <v>0.40213588166310588</v>
      </c>
      <c r="AD103" s="407">
        <f t="shared" si="66"/>
        <v>7.4016176632188078</v>
      </c>
      <c r="AE103" s="407">
        <f t="shared" si="84"/>
        <v>0.32870366419483588</v>
      </c>
      <c r="AF103" s="407">
        <f t="shared" si="67"/>
        <v>0.12994559999999997</v>
      </c>
      <c r="AG103" s="407">
        <f t="shared" si="68"/>
        <v>0.49092289508516179</v>
      </c>
      <c r="AH103" s="407">
        <f t="shared" si="69"/>
        <v>0</v>
      </c>
      <c r="AI103">
        <f t="shared" si="70"/>
        <v>0</v>
      </c>
      <c r="AJ103" s="408">
        <f t="shared" si="71"/>
        <v>0.20230318079999998</v>
      </c>
      <c r="AK103">
        <f t="shared" si="85"/>
        <v>2.52E-2</v>
      </c>
      <c r="AL103" s="408">
        <f t="shared" si="72"/>
        <v>4.4160000000000005E-2</v>
      </c>
      <c r="AM103" s="408">
        <f t="shared" si="86"/>
        <v>4.9347355729984298E-2</v>
      </c>
      <c r="AN103" s="408">
        <f t="shared" si="90"/>
        <v>6.9360000000000005E-2</v>
      </c>
      <c r="AO103" s="408">
        <f t="shared" si="73"/>
        <v>1.9210296501063828</v>
      </c>
      <c r="AP103">
        <f t="shared" si="74"/>
        <v>46.999999999999993</v>
      </c>
      <c r="AQ103" s="10">
        <f t="shared" si="91"/>
        <v>0.960732027435931</v>
      </c>
      <c r="AR103" s="63">
        <f t="shared" si="75"/>
        <v>20.106794083155293</v>
      </c>
      <c r="AS103" s="63">
        <f t="shared" si="92"/>
        <v>24.546144754258091</v>
      </c>
      <c r="AT103" s="10"/>
      <c r="AU103">
        <f t="shared" si="93"/>
        <v>96.0732027435931</v>
      </c>
      <c r="BE103" s="28"/>
      <c r="BF103" s="29"/>
    </row>
    <row r="104" spans="7:58" x14ac:dyDescent="0.2">
      <c r="G104">
        <v>95</v>
      </c>
      <c r="H104">
        <f t="shared" si="55"/>
        <v>9.5</v>
      </c>
      <c r="I104" s="407">
        <f t="shared" si="76"/>
        <v>0.40511904761904771</v>
      </c>
      <c r="J104" s="408">
        <f t="shared" si="56"/>
        <v>6.6816509589947097</v>
      </c>
      <c r="K104" s="408">
        <f t="shared" si="77"/>
        <v>12.840825479497354</v>
      </c>
      <c r="L104" s="408">
        <f t="shared" si="78"/>
        <v>6.1591745205026456</v>
      </c>
      <c r="M104" s="63">
        <f t="shared" si="57"/>
        <v>0</v>
      </c>
      <c r="N104" s="407">
        <f t="shared" si="58"/>
        <v>9.6938316278008934</v>
      </c>
      <c r="O104" s="407">
        <f t="shared" si="79"/>
        <v>0.48820248574693559</v>
      </c>
      <c r="P104">
        <f t="shared" si="59"/>
        <v>0.2</v>
      </c>
      <c r="Q104" s="407">
        <f t="shared" si="80"/>
        <v>0.68820248574693554</v>
      </c>
      <c r="R104" s="9">
        <f t="shared" si="87"/>
        <v>1.9288264899033585</v>
      </c>
      <c r="S104" s="9">
        <f t="shared" si="81"/>
        <v>3.7203716281529109E-3</v>
      </c>
      <c r="T104" s="9">
        <f t="shared" si="88"/>
        <v>3.7203716281529109E-3</v>
      </c>
      <c r="U104" s="407">
        <f t="shared" si="60"/>
        <v>6.1700232948024833</v>
      </c>
      <c r="V104" s="409">
        <f t="shared" si="82"/>
        <v>7.6138374916810594E-2</v>
      </c>
      <c r="W104" s="407">
        <f t="shared" si="89"/>
        <v>7.6138374916810594E-2</v>
      </c>
      <c r="X104" s="407">
        <f t="shared" si="61"/>
        <v>6.1700232948024833</v>
      </c>
      <c r="Y104" s="407">
        <f t="shared" si="83"/>
        <v>0.22841512475043177</v>
      </c>
      <c r="Z104" s="407">
        <f t="shared" si="62"/>
        <v>9.6845524644308928E-2</v>
      </c>
      <c r="AA104" s="407">
        <f t="shared" si="63"/>
        <v>6.4512E-2</v>
      </c>
      <c r="AB104" s="407">
        <f t="shared" si="64"/>
        <v>0</v>
      </c>
      <c r="AC104" s="407">
        <f t="shared" si="65"/>
        <v>0.40843101357843331</v>
      </c>
      <c r="AD104" s="407">
        <f t="shared" si="66"/>
        <v>7.4767094479956642</v>
      </c>
      <c r="AE104" s="407">
        <f t="shared" si="84"/>
        <v>0.33540710501848581</v>
      </c>
      <c r="AF104" s="407">
        <f t="shared" si="67"/>
        <v>0.131328</v>
      </c>
      <c r="AG104" s="407">
        <f t="shared" si="68"/>
        <v>0.50029564800888748</v>
      </c>
      <c r="AH104" s="407">
        <f t="shared" si="69"/>
        <v>0</v>
      </c>
      <c r="AI104">
        <f t="shared" si="70"/>
        <v>0</v>
      </c>
      <c r="AJ104" s="408">
        <f t="shared" si="71"/>
        <v>0.20229350399999999</v>
      </c>
      <c r="AK104">
        <f t="shared" si="85"/>
        <v>2.52E-2</v>
      </c>
      <c r="AL104" s="408">
        <f t="shared" si="72"/>
        <v>4.4160000000000005E-2</v>
      </c>
      <c r="AM104" s="408">
        <f t="shared" si="86"/>
        <v>4.9347355729984298E-2</v>
      </c>
      <c r="AN104" s="408">
        <f t="shared" si="90"/>
        <v>6.9360000000000005E-2</v>
      </c>
      <c r="AO104" s="408">
        <f t="shared" si="73"/>
        <v>1.9484413978792201</v>
      </c>
      <c r="AP104">
        <f t="shared" si="74"/>
        <v>47.5</v>
      </c>
      <c r="AQ104" s="10">
        <f t="shared" si="91"/>
        <v>0.96059650531345586</v>
      </c>
      <c r="AR104" s="63">
        <f t="shared" si="75"/>
        <v>20.421550678921665</v>
      </c>
      <c r="AS104" s="63">
        <f t="shared" si="92"/>
        <v>25.014782400444375</v>
      </c>
      <c r="AT104" s="10"/>
      <c r="AU104">
        <f t="shared" si="93"/>
        <v>96.059650531345582</v>
      </c>
      <c r="BE104" s="28"/>
      <c r="BF104" s="29"/>
    </row>
    <row r="105" spans="7:58" x14ac:dyDescent="0.2">
      <c r="G105">
        <v>96</v>
      </c>
      <c r="H105">
        <f t="shared" si="55"/>
        <v>9.6</v>
      </c>
      <c r="I105" s="407">
        <f t="shared" si="76"/>
        <v>0.40520634920634924</v>
      </c>
      <c r="J105" s="408">
        <f t="shared" si="56"/>
        <v>6.6830908289241622</v>
      </c>
      <c r="K105" s="408">
        <f t="shared" si="77"/>
        <v>12.94154541446208</v>
      </c>
      <c r="L105" s="408">
        <f t="shared" si="78"/>
        <v>6.258454585537919</v>
      </c>
      <c r="M105" s="63">
        <f t="shared" si="57"/>
        <v>0</v>
      </c>
      <c r="N105" s="407">
        <f t="shared" si="58"/>
        <v>9.7919341936261084</v>
      </c>
      <c r="O105" s="407">
        <f t="shared" si="79"/>
        <v>0.49852988843157292</v>
      </c>
      <c r="P105">
        <f t="shared" si="59"/>
        <v>0.2</v>
      </c>
      <c r="Q105" s="407">
        <f t="shared" si="80"/>
        <v>0.69852988843157293</v>
      </c>
      <c r="R105" s="9">
        <f t="shared" si="87"/>
        <v>1.9292421445490422</v>
      </c>
      <c r="S105" s="9">
        <f t="shared" si="81"/>
        <v>3.7219752523041873E-3</v>
      </c>
      <c r="T105" s="9">
        <f t="shared" si="88"/>
        <v>3.7219752523041873E-3</v>
      </c>
      <c r="U105" s="407">
        <f t="shared" si="60"/>
        <v>6.2331360603375012</v>
      </c>
      <c r="V105" s="409">
        <f t="shared" si="82"/>
        <v>7.7703970293359417E-2</v>
      </c>
      <c r="W105" s="407">
        <f t="shared" si="89"/>
        <v>7.7703970293359417E-2</v>
      </c>
      <c r="X105" s="407">
        <f t="shared" si="61"/>
        <v>6.2331360603375012</v>
      </c>
      <c r="Y105" s="407">
        <f t="shared" si="83"/>
        <v>0.23311191088007827</v>
      </c>
      <c r="Z105" s="407">
        <f t="shared" si="62"/>
        <v>9.7833217997768174E-2</v>
      </c>
      <c r="AA105" s="407">
        <f t="shared" si="63"/>
        <v>6.4512E-2</v>
      </c>
      <c r="AB105" s="407">
        <f t="shared" si="64"/>
        <v>0</v>
      </c>
      <c r="AC105" s="407">
        <f t="shared" ref="AC105:AC109" si="94">(AB105+AA105+Z105+Y105*(1+RdsonTopTc*Ta-RdsonTopTc*25))/(1-Y105*RdsonTopTc*ThetaJaTop)</f>
        <v>0.41479590194329174</v>
      </c>
      <c r="AD105" s="407">
        <f t="shared" si="66"/>
        <v>7.5518203173555767</v>
      </c>
      <c r="AE105" s="407">
        <f t="shared" si="84"/>
        <v>0.3421799406337469</v>
      </c>
      <c r="AF105" s="407">
        <f t="shared" si="67"/>
        <v>0.13271039999999998</v>
      </c>
      <c r="AG105" s="407">
        <f t="shared" ref="AG105:AG109" si="95">(AF105+AE105*(1+RdsonBotTc*Ta-RdsonBotTc*25))/(1-AE105*RdsonBotTc*ThetaJaBot)</f>
        <v>0.50977746518868405</v>
      </c>
      <c r="AH105" s="407">
        <f t="shared" si="69"/>
        <v>0</v>
      </c>
      <c r="AI105">
        <f t="shared" si="70"/>
        <v>0</v>
      </c>
      <c r="AJ105" s="408">
        <f t="shared" si="71"/>
        <v>0.20228382719999999</v>
      </c>
      <c r="AK105">
        <f t="shared" si="85"/>
        <v>2.52E-2</v>
      </c>
      <c r="AL105" s="408">
        <f t="shared" si="72"/>
        <v>4.4160000000000005E-2</v>
      </c>
      <c r="AM105" s="408">
        <f t="shared" si="86"/>
        <v>4.9347355729984298E-2</v>
      </c>
      <c r="AN105" s="408">
        <f t="shared" si="90"/>
        <v>6.9360000000000005E-2</v>
      </c>
      <c r="AO105" s="408">
        <f t="shared" ref="AO105:AO109" si="96">SUM(Q105,T105,W105,AC105,AJ105,AI105,AG105,AN105, AH105)</f>
        <v>1.9761730283092125</v>
      </c>
      <c r="AP105">
        <f t="shared" si="74"/>
        <v>48</v>
      </c>
      <c r="AQ105" s="10">
        <f t="shared" si="91"/>
        <v>0.96045769596663988</v>
      </c>
      <c r="AR105" s="63">
        <f t="shared" si="75"/>
        <v>20.739795097164588</v>
      </c>
      <c r="AS105" s="63">
        <f t="shared" si="92"/>
        <v>25.488873259434204</v>
      </c>
      <c r="AT105" s="10"/>
      <c r="AU105">
        <f t="shared" si="93"/>
        <v>96.045769596663987</v>
      </c>
      <c r="BE105" s="28"/>
      <c r="BF105" s="29"/>
    </row>
    <row r="106" spans="7:58" x14ac:dyDescent="0.2">
      <c r="G106">
        <v>97</v>
      </c>
      <c r="H106">
        <f t="shared" si="55"/>
        <v>9.6999999999999993</v>
      </c>
      <c r="I106" s="407">
        <f t="shared" si="76"/>
        <v>0.40529365079365082</v>
      </c>
      <c r="J106" s="408">
        <f t="shared" si="56"/>
        <v>6.6845306988536146</v>
      </c>
      <c r="K106" s="408">
        <f t="shared" si="77"/>
        <v>13.042265349426806</v>
      </c>
      <c r="L106" s="408">
        <f t="shared" si="78"/>
        <v>6.3577346505731924</v>
      </c>
      <c r="M106" s="63">
        <f t="shared" si="57"/>
        <v>0</v>
      </c>
      <c r="N106" s="407">
        <f t="shared" si="58"/>
        <v>9.8900747834378393</v>
      </c>
      <c r="O106" s="407">
        <f t="shared" si="79"/>
        <v>0.50898203807135056</v>
      </c>
      <c r="P106">
        <f t="shared" si="59"/>
        <v>0.2</v>
      </c>
      <c r="Q106" s="407">
        <f t="shared" si="80"/>
        <v>0.70898203807135052</v>
      </c>
      <c r="R106" s="9">
        <f t="shared" si="87"/>
        <v>1.9296577991947259</v>
      </c>
      <c r="S106" s="9">
        <f t="shared" si="81"/>
        <v>3.7235792219930332E-3</v>
      </c>
      <c r="T106" s="9">
        <f t="shared" si="88"/>
        <v>3.7235792219930332E-3</v>
      </c>
      <c r="U106" s="407">
        <f t="shared" si="60"/>
        <v>6.2962864150287468</v>
      </c>
      <c r="V106" s="409">
        <f t="shared" si="82"/>
        <v>7.9286445240151104E-2</v>
      </c>
      <c r="W106" s="407">
        <f t="shared" si="89"/>
        <v>7.9286445240151104E-2</v>
      </c>
      <c r="X106" s="407">
        <f t="shared" si="61"/>
        <v>6.2962864150287468</v>
      </c>
      <c r="Y106" s="407">
        <f t="shared" si="83"/>
        <v>0.23785933572045329</v>
      </c>
      <c r="Z106" s="407">
        <f t="shared" si="62"/>
        <v>9.8820911351227447E-2</v>
      </c>
      <c r="AA106" s="407">
        <f t="shared" si="63"/>
        <v>6.4512E-2</v>
      </c>
      <c r="AB106" s="407">
        <f t="shared" si="64"/>
        <v>0</v>
      </c>
      <c r="AC106" s="407">
        <f t="shared" si="94"/>
        <v>0.42123099185308949</v>
      </c>
      <c r="AD106" s="407">
        <f t="shared" si="66"/>
        <v>7.6269493640588353</v>
      </c>
      <c r="AE106" s="407">
        <f t="shared" si="84"/>
        <v>0.3490221396115048</v>
      </c>
      <c r="AF106" s="407">
        <f t="shared" si="67"/>
        <v>0.13409279999999998</v>
      </c>
      <c r="AG106" s="407">
        <f t="shared" si="95"/>
        <v>0.51936921021072135</v>
      </c>
      <c r="AH106" s="407">
        <f t="shared" si="69"/>
        <v>0</v>
      </c>
      <c r="AI106">
        <f t="shared" si="70"/>
        <v>0</v>
      </c>
      <c r="AJ106" s="408">
        <f t="shared" si="71"/>
        <v>0.20227415039999999</v>
      </c>
      <c r="AK106">
        <f t="shared" si="85"/>
        <v>2.52E-2</v>
      </c>
      <c r="AL106" s="408">
        <f t="shared" si="72"/>
        <v>4.4160000000000005E-2</v>
      </c>
      <c r="AM106" s="408">
        <f t="shared" si="86"/>
        <v>4.9347355729984298E-2</v>
      </c>
      <c r="AN106" s="408">
        <f t="shared" si="90"/>
        <v>6.9360000000000005E-2</v>
      </c>
      <c r="AO106" s="408">
        <f t="shared" si="96"/>
        <v>2.0042264149973055</v>
      </c>
      <c r="AP106">
        <f t="shared" si="74"/>
        <v>48.5</v>
      </c>
      <c r="AQ106" s="10">
        <f t="shared" si="91"/>
        <v>0.96031566945450442</v>
      </c>
      <c r="AR106" s="63">
        <f t="shared" si="75"/>
        <v>21.061549592654476</v>
      </c>
      <c r="AS106" s="63">
        <f t="shared" si="92"/>
        <v>25.968460510536069</v>
      </c>
      <c r="AT106" s="10"/>
      <c r="AU106">
        <f t="shared" si="93"/>
        <v>96.031566945450436</v>
      </c>
      <c r="BE106" s="28"/>
      <c r="BF106" s="29"/>
    </row>
    <row r="107" spans="7:58" x14ac:dyDescent="0.2">
      <c r="G107">
        <v>98</v>
      </c>
      <c r="H107">
        <f t="shared" si="55"/>
        <v>9.8000000000000007</v>
      </c>
      <c r="I107" s="407">
        <f t="shared" si="76"/>
        <v>0.4053809523809524</v>
      </c>
      <c r="J107" s="408">
        <f t="shared" si="56"/>
        <v>6.6859705687830679</v>
      </c>
      <c r="K107" s="408">
        <f t="shared" si="77"/>
        <v>13.142985284391536</v>
      </c>
      <c r="L107" s="408">
        <f t="shared" si="78"/>
        <v>6.4570147156084667</v>
      </c>
      <c r="M107" s="63">
        <f t="shared" si="57"/>
        <v>0</v>
      </c>
      <c r="N107" s="407">
        <f t="shared" si="58"/>
        <v>9.9882522764104973</v>
      </c>
      <c r="O107" s="407">
        <f t="shared" si="79"/>
        <v>0.51955949712163563</v>
      </c>
      <c r="P107">
        <f t="shared" si="59"/>
        <v>0.2</v>
      </c>
      <c r="Q107" s="407">
        <f t="shared" si="80"/>
        <v>0.71955949712163569</v>
      </c>
      <c r="R107" s="9">
        <f t="shared" si="87"/>
        <v>1.9300734538404098</v>
      </c>
      <c r="S107" s="9">
        <f t="shared" si="81"/>
        <v>3.725183537219449E-3</v>
      </c>
      <c r="T107" s="9">
        <f t="shared" si="88"/>
        <v>3.725183537219449E-3</v>
      </c>
      <c r="U107" s="407">
        <f t="shared" si="60"/>
        <v>6.3594736509225775</v>
      </c>
      <c r="V107" s="409">
        <f t="shared" si="82"/>
        <v>8.0885810233557079E-2</v>
      </c>
      <c r="W107" s="407">
        <f t="shared" si="89"/>
        <v>8.0885810233557079E-2</v>
      </c>
      <c r="X107" s="407">
        <f t="shared" si="61"/>
        <v>6.3594736509225775</v>
      </c>
      <c r="Y107" s="407">
        <f t="shared" si="83"/>
        <v>0.24265743070067125</v>
      </c>
      <c r="Z107" s="407">
        <f t="shared" si="62"/>
        <v>9.9808604704686735E-2</v>
      </c>
      <c r="AA107" s="407">
        <f t="shared" si="63"/>
        <v>6.4512E-2</v>
      </c>
      <c r="AB107" s="407">
        <f t="shared" si="64"/>
        <v>0</v>
      </c>
      <c r="AC107" s="407">
        <f t="shared" si="94"/>
        <v>0.42773673482304908</v>
      </c>
      <c r="AD107" s="407">
        <f t="shared" si="66"/>
        <v>7.7020957161308328</v>
      </c>
      <c r="AE107" s="407">
        <f t="shared" si="84"/>
        <v>0.35593367052264557</v>
      </c>
      <c r="AF107" s="407">
        <f t="shared" si="67"/>
        <v>0.13547520000000002</v>
      </c>
      <c r="AG107" s="407">
        <f t="shared" si="95"/>
        <v>0.52907176131778999</v>
      </c>
      <c r="AH107" s="407">
        <f t="shared" si="69"/>
        <v>0</v>
      </c>
      <c r="AI107">
        <f t="shared" si="70"/>
        <v>0</v>
      </c>
      <c r="AJ107" s="408">
        <f t="shared" si="71"/>
        <v>0.20226447359999999</v>
      </c>
      <c r="AK107">
        <f t="shared" si="85"/>
        <v>2.52E-2</v>
      </c>
      <c r="AL107" s="408">
        <f t="shared" si="72"/>
        <v>4.4160000000000005E-2</v>
      </c>
      <c r="AM107" s="408">
        <f t="shared" si="86"/>
        <v>4.9347355729984298E-2</v>
      </c>
      <c r="AN107" s="408">
        <f t="shared" si="90"/>
        <v>6.9360000000000005E-2</v>
      </c>
      <c r="AO107" s="408">
        <f t="shared" si="96"/>
        <v>2.032603460633251</v>
      </c>
      <c r="AP107">
        <f t="shared" si="74"/>
        <v>49</v>
      </c>
      <c r="AQ107" s="10">
        <f t="shared" si="91"/>
        <v>0.96017049253226494</v>
      </c>
      <c r="AR107" s="63">
        <f t="shared" si="75"/>
        <v>21.386836741152454</v>
      </c>
      <c r="AS107" s="63">
        <f t="shared" si="92"/>
        <v>26.453588065889498</v>
      </c>
      <c r="AT107" s="10"/>
      <c r="AU107">
        <f t="shared" si="93"/>
        <v>96.017049253226489</v>
      </c>
      <c r="BE107" s="28"/>
      <c r="BF107" s="29"/>
    </row>
    <row r="108" spans="7:58" x14ac:dyDescent="0.2">
      <c r="G108">
        <v>99</v>
      </c>
      <c r="H108">
        <f t="shared" si="55"/>
        <v>9.9</v>
      </c>
      <c r="I108" s="407">
        <f t="shared" si="76"/>
        <v>0.40546825396825398</v>
      </c>
      <c r="J108" s="408">
        <f t="shared" si="56"/>
        <v>6.6874104387125213</v>
      </c>
      <c r="K108" s="408">
        <f t="shared" si="77"/>
        <v>13.243705219356261</v>
      </c>
      <c r="L108" s="408">
        <f t="shared" si="78"/>
        <v>6.5562947806437393</v>
      </c>
      <c r="M108" s="63">
        <f t="shared" si="57"/>
        <v>0</v>
      </c>
      <c r="N108" s="407">
        <f t="shared" si="58"/>
        <v>10.086465594943723</v>
      </c>
      <c r="O108" s="407">
        <f t="shared" si="79"/>
        <v>0.53026283612933822</v>
      </c>
      <c r="P108">
        <f t="shared" si="59"/>
        <v>0.2</v>
      </c>
      <c r="Q108" s="407">
        <f t="shared" si="80"/>
        <v>0.73026283612933818</v>
      </c>
      <c r="R108" s="9">
        <f t="shared" si="87"/>
        <v>1.9304891084860938</v>
      </c>
      <c r="S108" s="9">
        <f t="shared" si="81"/>
        <v>3.7267881979834334E-3</v>
      </c>
      <c r="T108" s="9">
        <f t="shared" si="88"/>
        <v>3.7267881979834334E-3</v>
      </c>
      <c r="U108" s="407">
        <f t="shared" si="60"/>
        <v>6.4226970872815112</v>
      </c>
      <c r="V108" s="409">
        <f t="shared" si="82"/>
        <v>8.2502075749948819E-2</v>
      </c>
      <c r="W108" s="407">
        <f t="shared" si="89"/>
        <v>8.2502075749948819E-2</v>
      </c>
      <c r="X108" s="407">
        <f t="shared" si="61"/>
        <v>6.4226970872815112</v>
      </c>
      <c r="Y108" s="407">
        <f t="shared" si="83"/>
        <v>0.24750622724984644</v>
      </c>
      <c r="Z108" s="407">
        <f t="shared" si="62"/>
        <v>0.10079629805814601</v>
      </c>
      <c r="AA108" s="407">
        <f t="shared" si="63"/>
        <v>6.4512E-2</v>
      </c>
      <c r="AB108" s="407">
        <f t="shared" si="64"/>
        <v>0</v>
      </c>
      <c r="AC108" s="407">
        <f t="shared" si="94"/>
        <v>0.43431358887305455</v>
      </c>
      <c r="AD108" s="407">
        <f t="shared" si="66"/>
        <v>7.7772585351786416</v>
      </c>
      <c r="AE108" s="407">
        <f t="shared" si="84"/>
        <v>0.36291450193805419</v>
      </c>
      <c r="AF108" s="407">
        <f t="shared" si="67"/>
        <v>0.1368576</v>
      </c>
      <c r="AG108" s="407">
        <f t="shared" si="95"/>
        <v>0.53888601164129091</v>
      </c>
      <c r="AH108" s="407">
        <f t="shared" si="69"/>
        <v>0</v>
      </c>
      <c r="AI108">
        <f t="shared" si="70"/>
        <v>0</v>
      </c>
      <c r="AJ108" s="408">
        <f t="shared" si="71"/>
        <v>0.2022547968</v>
      </c>
      <c r="AK108">
        <f t="shared" si="85"/>
        <v>2.52E-2</v>
      </c>
      <c r="AL108" s="408">
        <f t="shared" si="72"/>
        <v>4.4160000000000005E-2</v>
      </c>
      <c r="AM108" s="408">
        <f t="shared" si="86"/>
        <v>4.9347355729984298E-2</v>
      </c>
      <c r="AN108" s="408">
        <f t="shared" si="90"/>
        <v>6.9360000000000005E-2</v>
      </c>
      <c r="AO108" s="408">
        <f t="shared" si="96"/>
        <v>2.0613060973916157</v>
      </c>
      <c r="AP108">
        <f t="shared" si="74"/>
        <v>49.5</v>
      </c>
      <c r="AQ108" s="10">
        <f t="shared" si="91"/>
        <v>0.96002222881053256</v>
      </c>
      <c r="AR108" s="63">
        <f t="shared" si="75"/>
        <v>21.715679443652729</v>
      </c>
      <c r="AS108" s="63">
        <f t="shared" si="92"/>
        <v>26.944300582064546</v>
      </c>
      <c r="AT108" s="10"/>
      <c r="AU108">
        <f t="shared" si="93"/>
        <v>96.002222881053257</v>
      </c>
      <c r="BE108" s="28"/>
      <c r="BF108" s="29"/>
    </row>
    <row r="109" spans="7:58" x14ac:dyDescent="0.2">
      <c r="G109">
        <v>100</v>
      </c>
      <c r="H109">
        <f t="shared" si="55"/>
        <v>10</v>
      </c>
      <c r="I109" s="407">
        <f t="shared" si="76"/>
        <v>0.4055555555555555</v>
      </c>
      <c r="J109" s="408">
        <f t="shared" si="56"/>
        <v>6.6888503086419737</v>
      </c>
      <c r="K109" s="408">
        <f t="shared" si="77"/>
        <v>13.344425154320987</v>
      </c>
      <c r="L109" s="408">
        <f t="shared" si="78"/>
        <v>6.6555748456790127</v>
      </c>
      <c r="M109" s="63">
        <f t="shared" si="57"/>
        <v>0</v>
      </c>
      <c r="N109" s="407">
        <f t="shared" si="58"/>
        <v>10.184713702617515</v>
      </c>
      <c r="O109" s="407">
        <f t="shared" si="79"/>
        <v>0.54109263381348371</v>
      </c>
      <c r="P109">
        <f t="shared" si="59"/>
        <v>0.2</v>
      </c>
      <c r="Q109" s="407">
        <f t="shared" si="80"/>
        <v>0.74109263381348378</v>
      </c>
      <c r="R109" s="9">
        <f t="shared" si="87"/>
        <v>1.9309047631317775</v>
      </c>
      <c r="S109" s="9">
        <f t="shared" si="81"/>
        <v>3.728393204284986E-3</v>
      </c>
      <c r="T109" s="9">
        <f t="shared" si="88"/>
        <v>3.728393204284986E-3</v>
      </c>
      <c r="U109" s="407">
        <f t="shared" si="60"/>
        <v>6.4859560692968694</v>
      </c>
      <c r="V109" s="409">
        <f t="shared" si="82"/>
        <v>8.4135252265697791E-2</v>
      </c>
      <c r="W109" s="407">
        <f t="shared" si="89"/>
        <v>8.4135252265697791E-2</v>
      </c>
      <c r="X109" s="407">
        <f t="shared" si="61"/>
        <v>6.4859560692968694</v>
      </c>
      <c r="Y109" s="407">
        <f t="shared" si="83"/>
        <v>0.25240575679709337</v>
      </c>
      <c r="Z109" s="407">
        <f t="shared" si="62"/>
        <v>0.10178399141160527</v>
      </c>
      <c r="AA109" s="407">
        <f t="shared" si="63"/>
        <v>6.4512E-2</v>
      </c>
      <c r="AB109" s="407">
        <f t="shared" si="64"/>
        <v>0</v>
      </c>
      <c r="AC109" s="407">
        <f t="shared" si="94"/>
        <v>0.44096201861411244</v>
      </c>
      <c r="AD109" s="407">
        <f t="shared" si="66"/>
        <v>7.8524370148022244</v>
      </c>
      <c r="AE109" s="407">
        <f t="shared" si="84"/>
        <v>0.36996460242861645</v>
      </c>
      <c r="AF109" s="407">
        <f t="shared" si="67"/>
        <v>0.13824</v>
      </c>
      <c r="AG109" s="407">
        <f t="shared" si="95"/>
        <v>0.5488128694385227</v>
      </c>
      <c r="AH109" s="407">
        <f t="shared" si="69"/>
        <v>0</v>
      </c>
      <c r="AI109">
        <f t="shared" si="70"/>
        <v>0</v>
      </c>
      <c r="AJ109" s="408">
        <f t="shared" si="71"/>
        <v>0.20224511999999997</v>
      </c>
      <c r="AK109">
        <f t="shared" si="85"/>
        <v>2.52E-2</v>
      </c>
      <c r="AL109" s="408">
        <f t="shared" si="72"/>
        <v>4.4160000000000005E-2</v>
      </c>
      <c r="AM109" s="408">
        <f t="shared" si="86"/>
        <v>4.9347355729984298E-2</v>
      </c>
      <c r="AN109" s="408">
        <f t="shared" si="90"/>
        <v>6.9360000000000005E-2</v>
      </c>
      <c r="AO109" s="408">
        <f t="shared" si="96"/>
        <v>2.0903362873361018</v>
      </c>
      <c r="AP109">
        <f t="shared" si="74"/>
        <v>50</v>
      </c>
      <c r="AQ109" s="10">
        <f t="shared" si="91"/>
        <v>0.95987093890495212</v>
      </c>
      <c r="AR109" s="63">
        <f t="shared" si="75"/>
        <v>22.048100930705623</v>
      </c>
      <c r="AS109" s="63">
        <f t="shared" si="92"/>
        <v>27.440643471926133</v>
      </c>
      <c r="AT109" s="10"/>
      <c r="AU109">
        <f t="shared" si="93"/>
        <v>95.987093890495217</v>
      </c>
      <c r="BE109" s="28"/>
      <c r="BF109" s="29"/>
    </row>
    <row r="110" spans="7:58" x14ac:dyDescent="0.2">
      <c r="G110">
        <v>101</v>
      </c>
      <c r="H110">
        <f t="shared" si="55"/>
        <v>10.1</v>
      </c>
      <c r="I110" s="407">
        <f t="shared" ref="I110:I173" si="97">(Vout+Rdcr*H110+RdsonBot*H110)/(Vin-RdsonTop*H110+RdsonBot*H110)</f>
        <v>0.40564285714285719</v>
      </c>
      <c r="J110" s="408">
        <f t="shared" si="56"/>
        <v>6.6902901785714288</v>
      </c>
      <c r="K110" s="408">
        <f t="shared" si="77"/>
        <v>13.445145089285713</v>
      </c>
      <c r="L110" s="408">
        <f t="shared" ref="L110:L173" si="98">H110-J110/2</f>
        <v>6.7548549107142852</v>
      </c>
      <c r="M110" s="63">
        <f t="shared" si="57"/>
        <v>0</v>
      </c>
      <c r="N110" s="407">
        <f t="shared" ref="N110:N173" si="99">SQRT(H110^2+(J110^2)/12)</f>
        <v>10.282995602261245</v>
      </c>
      <c r="O110" s="407">
        <f t="shared" ref="O110:O173" si="100">(N110^2*Rdcr*(1+Ltc*Ta-Ltc*25))/(1-N110^2*Rdcr*Ltc*ThetaCa)</f>
        <v>0.55204947714720221</v>
      </c>
      <c r="P110">
        <f t="shared" si="59"/>
        <v>0.2</v>
      </c>
      <c r="Q110" s="407">
        <f t="shared" si="80"/>
        <v>0.75204947714720216</v>
      </c>
      <c r="R110" s="9">
        <f t="shared" ref="R110:R173" si="101">J110/(2*SQRT(3))</f>
        <v>1.9313204177774621</v>
      </c>
      <c r="S110" s="9">
        <f t="shared" ref="S110:S173" si="102">RCoutEsr*R110^2</f>
        <v>3.7299985561241112E-3</v>
      </c>
      <c r="T110" s="9">
        <f t="shared" ref="T110:T173" si="103">S110</f>
        <v>3.7299985561241112E-3</v>
      </c>
      <c r="U110" s="407">
        <f t="shared" ref="U110:U173" si="104">SQRT(I110)*SQRT(H110^2+(J110^2)/12)</f>
        <v>6.5492499668731368</v>
      </c>
      <c r="V110" s="409">
        <f t="shared" ref="V110:V173" si="105">RCinEsr*U110^2</f>
        <v>8.5785350257175569E-2</v>
      </c>
      <c r="W110" s="407">
        <f t="shared" ref="W110:W173" si="106">V110</f>
        <v>8.5785350257175569E-2</v>
      </c>
      <c r="X110" s="407">
        <f t="shared" ref="X110:X173" si="107">SQRT(I110)*SQRT(H110^2+(J110^2)/12)</f>
        <v>6.5492499668731368</v>
      </c>
      <c r="Y110" s="407">
        <f t="shared" ref="Y110:Y173" si="108">RdsonTop*X110^2</f>
        <v>0.25735605077152668</v>
      </c>
      <c r="Z110" s="407">
        <f t="shared" si="62"/>
        <v>0.10277168476506454</v>
      </c>
      <c r="AA110" s="407">
        <f t="shared" si="63"/>
        <v>6.4512E-2</v>
      </c>
      <c r="AB110" s="407">
        <f t="shared" si="64"/>
        <v>0</v>
      </c>
      <c r="AC110" s="407">
        <f t="shared" ref="AC110:AC173" si="109">(AB110+AA110+Z110+Y110*(1+RdsonTopTc*Ta-RdsonTopTc*25))/(1-Y110*RdsonTopTc*ThetaJaTop)</f>
        <v>0.44768249533645788</v>
      </c>
      <c r="AD110" s="407">
        <f t="shared" ref="AD110:AD173" si="110">SQRT(1-I110)*SQRT(H110^2+(J110^2)/12)</f>
        <v>7.9276303790941416</v>
      </c>
      <c r="AE110" s="407">
        <f t="shared" ref="AE110:AE173" si="111">RdsonBot*AD110^2</f>
        <v>0.37708394056521793</v>
      </c>
      <c r="AF110" s="407">
        <f t="shared" si="67"/>
        <v>0.13962239999999998</v>
      </c>
      <c r="AG110" s="407">
        <f t="shared" ref="AG110:AG173" si="112">(AF110+AE110*(1+RdsonBotTc*Ta-RdsonBotTc*25))/(1-AE110*RdsonBotTc*ThetaJaBot)</f>
        <v>0.55885325833538146</v>
      </c>
      <c r="AH110" s="407">
        <f t="shared" ref="AH110:AH173" si="113">IF(RDSON_sense=1, 0, AD110^2*Rshunt)</f>
        <v>0</v>
      </c>
      <c r="AI110">
        <f t="shared" si="70"/>
        <v>0</v>
      </c>
      <c r="AJ110" s="408">
        <f t="shared" si="71"/>
        <v>0.20223544319999998</v>
      </c>
      <c r="AK110">
        <f t="shared" si="85"/>
        <v>2.52E-2</v>
      </c>
      <c r="AL110" s="408">
        <f t="shared" si="72"/>
        <v>4.4160000000000005E-2</v>
      </c>
      <c r="AM110" s="408">
        <f t="shared" si="86"/>
        <v>4.9347355729984298E-2</v>
      </c>
      <c r="AN110" s="408">
        <f t="shared" ref="AN110:AN173" si="114">SUM(AK110:AL110)</f>
        <v>6.9360000000000005E-2</v>
      </c>
      <c r="AO110" s="408">
        <f t="shared" ref="AO110:AO173" si="115">SUM(Q110,T110,W110,AC110,AJ110,AI110,AG110,AN110, AH110)</f>
        <v>2.1196960228323412</v>
      </c>
      <c r="AP110">
        <f t="shared" si="74"/>
        <v>50.5</v>
      </c>
      <c r="AQ110" s="10">
        <f t="shared" ref="AQ110:AQ173" si="116">AP110/(AP110+AO110)</f>
        <v>0.95971668057693493</v>
      </c>
      <c r="AR110" s="63">
        <f t="shared" ref="AR110:AR173" si="117">ThetaJaTop*AC110</f>
        <v>22.384124766822893</v>
      </c>
      <c r="AS110" s="63">
        <f t="shared" ref="AS110:AS173" si="118">AG110*ThetaJaBot</f>
        <v>27.942662916769073</v>
      </c>
      <c r="AT110" s="10"/>
      <c r="AU110">
        <f t="shared" ref="AU110:AU173" si="119">AQ110*100</f>
        <v>95.971668057693492</v>
      </c>
    </row>
    <row r="111" spans="7:58" x14ac:dyDescent="0.2">
      <c r="G111">
        <v>102</v>
      </c>
      <c r="H111">
        <f t="shared" si="55"/>
        <v>10.199999999999999</v>
      </c>
      <c r="I111" s="407">
        <f t="shared" si="97"/>
        <v>0.40573015873015877</v>
      </c>
      <c r="J111" s="408">
        <f t="shared" si="56"/>
        <v>6.6917300485008822</v>
      </c>
      <c r="K111" s="408">
        <f t="shared" si="77"/>
        <v>13.545865024250441</v>
      </c>
      <c r="L111" s="408">
        <f t="shared" si="98"/>
        <v>6.8541349757495578</v>
      </c>
      <c r="M111" s="63">
        <f t="shared" si="57"/>
        <v>0</v>
      </c>
      <c r="N111" s="407">
        <f t="shared" si="99"/>
        <v>10.381310334129347</v>
      </c>
      <c r="O111" s="407">
        <f t="shared" si="100"/>
        <v>0.56313396144116112</v>
      </c>
      <c r="P111">
        <f t="shared" si="59"/>
        <v>0.2</v>
      </c>
      <c r="Q111" s="407">
        <f t="shared" si="80"/>
        <v>0.76313396144116119</v>
      </c>
      <c r="R111" s="9">
        <f t="shared" si="101"/>
        <v>1.931736072423146</v>
      </c>
      <c r="S111" s="9">
        <f t="shared" si="102"/>
        <v>3.7316042535008023E-3</v>
      </c>
      <c r="T111" s="9">
        <f t="shared" si="103"/>
        <v>3.7316042535008023E-3</v>
      </c>
      <c r="U111" s="407">
        <f t="shared" si="104"/>
        <v>6.6125781734794424</v>
      </c>
      <c r="V111" s="409">
        <f t="shared" si="105"/>
        <v>8.7452380200753438E-2</v>
      </c>
      <c r="W111" s="407">
        <f t="shared" si="106"/>
        <v>8.7452380200753438E-2</v>
      </c>
      <c r="X111" s="407">
        <f t="shared" si="107"/>
        <v>6.6125781734794424</v>
      </c>
      <c r="Y111" s="407">
        <f t="shared" si="108"/>
        <v>0.26235714060226034</v>
      </c>
      <c r="Z111" s="407">
        <f t="shared" si="62"/>
        <v>0.1037593781185238</v>
      </c>
      <c r="AA111" s="407">
        <f t="shared" si="63"/>
        <v>6.4512E-2</v>
      </c>
      <c r="AB111" s="407">
        <f t="shared" si="64"/>
        <v>0</v>
      </c>
      <c r="AC111" s="407">
        <f t="shared" si="109"/>
        <v>0.45447549709933877</v>
      </c>
      <c r="AD111" s="407">
        <f t="shared" si="110"/>
        <v>8.0028378812221383</v>
      </c>
      <c r="AE111" s="407">
        <f t="shared" si="111"/>
        <v>0.38427248491874427</v>
      </c>
      <c r="AF111" s="407">
        <f t="shared" si="67"/>
        <v>0.14100479999999999</v>
      </c>
      <c r="AG111" s="407">
        <f t="shared" si="112"/>
        <v>0.56900811757461078</v>
      </c>
      <c r="AH111" s="407">
        <f t="shared" si="113"/>
        <v>0</v>
      </c>
      <c r="AI111">
        <f t="shared" si="70"/>
        <v>0</v>
      </c>
      <c r="AJ111" s="408">
        <f t="shared" si="71"/>
        <v>0.20222576640000001</v>
      </c>
      <c r="AK111">
        <f t="shared" si="85"/>
        <v>2.52E-2</v>
      </c>
      <c r="AL111" s="408">
        <f t="shared" si="72"/>
        <v>4.4160000000000005E-2</v>
      </c>
      <c r="AM111" s="408">
        <f t="shared" si="86"/>
        <v>4.9347355729984298E-2</v>
      </c>
      <c r="AN111" s="408">
        <f t="shared" si="114"/>
        <v>6.9360000000000005E-2</v>
      </c>
      <c r="AO111" s="408">
        <f t="shared" si="115"/>
        <v>2.1493873269693653</v>
      </c>
      <c r="AP111">
        <f t="shared" si="74"/>
        <v>51</v>
      </c>
      <c r="AQ111" s="10">
        <f t="shared" si="116"/>
        <v>0.9595595088660841</v>
      </c>
      <c r="AR111" s="63">
        <f t="shared" si="117"/>
        <v>22.723774854966937</v>
      </c>
      <c r="AS111" s="63">
        <f t="shared" si="118"/>
        <v>28.450405878730539</v>
      </c>
      <c r="AT111" s="10"/>
      <c r="AU111">
        <f t="shared" si="119"/>
        <v>95.955950886608406</v>
      </c>
    </row>
    <row r="112" spans="7:58" x14ac:dyDescent="0.2">
      <c r="G112">
        <v>103</v>
      </c>
      <c r="H112">
        <f t="shared" si="55"/>
        <v>10.3</v>
      </c>
      <c r="I112" s="407">
        <f t="shared" si="97"/>
        <v>0.4058174603174603</v>
      </c>
      <c r="J112" s="408">
        <f t="shared" si="56"/>
        <v>6.6931699184303346</v>
      </c>
      <c r="K112" s="408">
        <f t="shared" si="77"/>
        <v>13.646584959215168</v>
      </c>
      <c r="L112" s="408">
        <f t="shared" si="98"/>
        <v>6.953415040784833</v>
      </c>
      <c r="M112" s="63">
        <f t="shared" si="57"/>
        <v>0</v>
      </c>
      <c r="N112" s="407">
        <f t="shared" si="99"/>
        <v>10.479656974176926</v>
      </c>
      <c r="O112" s="407">
        <f t="shared" si="100"/>
        <v>0.57434669042846553</v>
      </c>
      <c r="P112">
        <f t="shared" si="59"/>
        <v>0.2</v>
      </c>
      <c r="Q112" s="407">
        <f t="shared" si="80"/>
        <v>0.77434669042846549</v>
      </c>
      <c r="R112" s="9">
        <f t="shared" si="101"/>
        <v>1.9321517270688298</v>
      </c>
      <c r="S112" s="9">
        <f t="shared" si="102"/>
        <v>3.7332102964150616E-3</v>
      </c>
      <c r="T112" s="9">
        <f t="shared" si="103"/>
        <v>3.7332102964150616E-3</v>
      </c>
      <c r="U112" s="407">
        <f t="shared" si="104"/>
        <v>6.6759401050639697</v>
      </c>
      <c r="V112" s="409">
        <f t="shared" si="105"/>
        <v>8.9136352572803043E-2</v>
      </c>
      <c r="W112" s="407">
        <f t="shared" si="106"/>
        <v>8.9136352572803043E-2</v>
      </c>
      <c r="X112" s="407">
        <f t="shared" si="107"/>
        <v>6.6759401050639697</v>
      </c>
      <c r="Y112" s="407">
        <f t="shared" si="108"/>
        <v>0.26740905771840917</v>
      </c>
      <c r="Z112" s="407">
        <f t="shared" si="62"/>
        <v>0.10474707147198309</v>
      </c>
      <c r="AA112" s="407">
        <f t="shared" si="63"/>
        <v>6.4512E-2</v>
      </c>
      <c r="AB112" s="407">
        <f t="shared" si="64"/>
        <v>0</v>
      </c>
      <c r="AC112" s="407">
        <f t="shared" si="109"/>
        <v>0.4613415088225159</v>
      </c>
      <c r="AD112" s="407">
        <f t="shared" si="110"/>
        <v>8.0780588020893713</v>
      </c>
      <c r="AE112" s="407">
        <f t="shared" si="111"/>
        <v>0.39153020406008143</v>
      </c>
      <c r="AF112" s="407">
        <f t="shared" si="67"/>
        <v>0.14238719999999999</v>
      </c>
      <c r="AG112" s="407">
        <f t="shared" si="112"/>
        <v>0.57927840226973482</v>
      </c>
      <c r="AH112" s="407">
        <f t="shared" si="113"/>
        <v>0</v>
      </c>
      <c r="AI112">
        <f t="shared" si="70"/>
        <v>0</v>
      </c>
      <c r="AJ112" s="408">
        <f t="shared" si="71"/>
        <v>0.20221608960000001</v>
      </c>
      <c r="AK112">
        <f t="shared" si="85"/>
        <v>2.52E-2</v>
      </c>
      <c r="AL112" s="408">
        <f t="shared" si="72"/>
        <v>4.4160000000000005E-2</v>
      </c>
      <c r="AM112" s="408">
        <f t="shared" si="86"/>
        <v>4.9347355729984298E-2</v>
      </c>
      <c r="AN112" s="408">
        <f t="shared" si="114"/>
        <v>6.9360000000000005E-2</v>
      </c>
      <c r="AO112" s="408">
        <f t="shared" si="115"/>
        <v>2.1794122539899345</v>
      </c>
      <c r="AP112">
        <f t="shared" si="74"/>
        <v>51.5</v>
      </c>
      <c r="AQ112" s="10">
        <f t="shared" si="116"/>
        <v>0.95939947621486965</v>
      </c>
      <c r="AR112" s="63">
        <f t="shared" si="117"/>
        <v>23.067075441125795</v>
      </c>
      <c r="AS112" s="63">
        <f t="shared" si="118"/>
        <v>28.96392011348674</v>
      </c>
      <c r="AT112" s="10"/>
      <c r="AU112">
        <f t="shared" si="119"/>
        <v>95.939947621486965</v>
      </c>
    </row>
    <row r="113" spans="7:47" x14ac:dyDescent="0.2">
      <c r="G113">
        <v>104</v>
      </c>
      <c r="H113">
        <f t="shared" si="55"/>
        <v>10.4</v>
      </c>
      <c r="I113" s="407">
        <f t="shared" si="97"/>
        <v>0.40590476190476188</v>
      </c>
      <c r="J113" s="408">
        <f t="shared" si="56"/>
        <v>6.694609788359787</v>
      </c>
      <c r="K113" s="408">
        <f t="shared" si="77"/>
        <v>13.747304894179894</v>
      </c>
      <c r="L113" s="408">
        <f t="shared" si="98"/>
        <v>7.0526951058201064</v>
      </c>
      <c r="M113" s="63">
        <f t="shared" si="57"/>
        <v>0</v>
      </c>
      <c r="N113" s="407">
        <f t="shared" si="99"/>
        <v>10.578034632428979</v>
      </c>
      <c r="O113" s="407">
        <f t="shared" si="100"/>
        <v>0.58568827635104481</v>
      </c>
      <c r="P113">
        <f t="shared" si="59"/>
        <v>0.2</v>
      </c>
      <c r="Q113" s="407">
        <f t="shared" si="80"/>
        <v>0.78568827635104488</v>
      </c>
      <c r="R113" s="9">
        <f t="shared" si="101"/>
        <v>1.9325673817145135</v>
      </c>
      <c r="S113" s="9">
        <f t="shared" si="102"/>
        <v>3.7348166848668904E-3</v>
      </c>
      <c r="T113" s="9">
        <f t="shared" si="103"/>
        <v>3.7348166848668904E-3</v>
      </c>
      <c r="U113" s="407">
        <f t="shared" si="104"/>
        <v>6.7393351990272645</v>
      </c>
      <c r="V113" s="409">
        <f t="shared" si="105"/>
        <v>9.0837277849695724E-2</v>
      </c>
      <c r="W113" s="407">
        <f t="shared" si="106"/>
        <v>9.0837277849695724E-2</v>
      </c>
      <c r="X113" s="407">
        <f t="shared" si="107"/>
        <v>6.7393351990272645</v>
      </c>
      <c r="Y113" s="407">
        <f t="shared" si="108"/>
        <v>0.2725118335490872</v>
      </c>
      <c r="Z113" s="407">
        <f t="shared" si="62"/>
        <v>0.10573476482544235</v>
      </c>
      <c r="AA113" s="407">
        <f t="shared" si="63"/>
        <v>6.4512E-2</v>
      </c>
      <c r="AB113" s="407">
        <f t="shared" si="64"/>
        <v>0</v>
      </c>
      <c r="AC113" s="407">
        <f t="shared" si="109"/>
        <v>0.46828102237950564</v>
      </c>
      <c r="AD113" s="407">
        <f t="shared" si="110"/>
        <v>8.1532924490673704</v>
      </c>
      <c r="AE113" s="407">
        <f t="shared" si="111"/>
        <v>0.39885706656011399</v>
      </c>
      <c r="AF113" s="407">
        <f t="shared" si="67"/>
        <v>0.1437696</v>
      </c>
      <c r="AG113" s="407">
        <f t="shared" si="112"/>
        <v>0.58966508366480797</v>
      </c>
      <c r="AH113" s="407">
        <f t="shared" si="113"/>
        <v>0</v>
      </c>
      <c r="AI113">
        <f t="shared" si="70"/>
        <v>0</v>
      </c>
      <c r="AJ113" s="408">
        <f t="shared" si="71"/>
        <v>0.20220641279999998</v>
      </c>
      <c r="AK113">
        <f t="shared" si="85"/>
        <v>2.52E-2</v>
      </c>
      <c r="AL113" s="408">
        <f t="shared" si="72"/>
        <v>4.4160000000000005E-2</v>
      </c>
      <c r="AM113" s="408">
        <f t="shared" si="86"/>
        <v>4.9347355729984298E-2</v>
      </c>
      <c r="AN113" s="408">
        <f t="shared" si="114"/>
        <v>6.9360000000000005E-2</v>
      </c>
      <c r="AO113" s="408">
        <f t="shared" si="115"/>
        <v>2.2097728897299214</v>
      </c>
      <c r="AP113">
        <f t="shared" si="74"/>
        <v>52</v>
      </c>
      <c r="AQ113" s="10">
        <f t="shared" si="116"/>
        <v>0.95923663258606706</v>
      </c>
      <c r="AR113" s="63">
        <f t="shared" si="117"/>
        <v>23.414051118975284</v>
      </c>
      <c r="AS113" s="63">
        <f t="shared" si="118"/>
        <v>29.483254183240398</v>
      </c>
      <c r="AT113" s="10"/>
      <c r="AU113">
        <f t="shared" si="119"/>
        <v>95.923663258606709</v>
      </c>
    </row>
    <row r="114" spans="7:47" x14ac:dyDescent="0.2">
      <c r="G114">
        <v>105</v>
      </c>
      <c r="H114">
        <f t="shared" si="55"/>
        <v>10.5</v>
      </c>
      <c r="I114" s="407">
        <f t="shared" si="97"/>
        <v>0.40599206349206352</v>
      </c>
      <c r="J114" s="408">
        <f t="shared" si="56"/>
        <v>6.6960496582892404</v>
      </c>
      <c r="K114" s="408">
        <f t="shared" si="77"/>
        <v>13.84802482914462</v>
      </c>
      <c r="L114" s="408">
        <f t="shared" si="98"/>
        <v>7.1519751708553798</v>
      </c>
      <c r="M114" s="63">
        <f t="shared" si="57"/>
        <v>0</v>
      </c>
      <c r="N114" s="407">
        <f t="shared" si="99"/>
        <v>10.676442451437477</v>
      </c>
      <c r="O114" s="407">
        <f t="shared" si="100"/>
        <v>0.59715934004755566</v>
      </c>
      <c r="P114">
        <f t="shared" si="59"/>
        <v>0.2</v>
      </c>
      <c r="Q114" s="407">
        <f t="shared" si="80"/>
        <v>0.79715934004755562</v>
      </c>
      <c r="R114" s="9">
        <f t="shared" si="101"/>
        <v>1.9329830363601974</v>
      </c>
      <c r="S114" s="9">
        <f t="shared" si="102"/>
        <v>3.7364234188562882E-3</v>
      </c>
      <c r="T114" s="9">
        <f t="shared" si="103"/>
        <v>3.7364234188562882E-3</v>
      </c>
      <c r="U114" s="407">
        <f t="shared" si="104"/>
        <v>6.8027629132508762</v>
      </c>
      <c r="V114" s="409">
        <f t="shared" si="105"/>
        <v>9.2555166507803099E-2</v>
      </c>
      <c r="W114" s="407">
        <f t="shared" si="106"/>
        <v>9.2555166507803099E-2</v>
      </c>
      <c r="X114" s="407">
        <f t="shared" si="107"/>
        <v>6.8027629132508762</v>
      </c>
      <c r="Y114" s="407">
        <f t="shared" si="108"/>
        <v>0.2776654995234093</v>
      </c>
      <c r="Z114" s="407">
        <f t="shared" si="62"/>
        <v>0.10672245817890161</v>
      </c>
      <c r="AA114" s="407">
        <f t="shared" si="63"/>
        <v>6.4512E-2</v>
      </c>
      <c r="AB114" s="407">
        <f t="shared" si="64"/>
        <v>0</v>
      </c>
      <c r="AC114" s="407">
        <f t="shared" si="109"/>
        <v>0.47529453669261118</v>
      </c>
      <c r="AD114" s="407">
        <f t="shared" si="110"/>
        <v>8.2285381547972882</v>
      </c>
      <c r="AE114" s="407">
        <f t="shared" si="111"/>
        <v>0.40625304098972859</v>
      </c>
      <c r="AF114" s="407">
        <f t="shared" si="67"/>
        <v>0.145152</v>
      </c>
      <c r="AG114" s="407">
        <f t="shared" si="112"/>
        <v>0.60016914940013322</v>
      </c>
      <c r="AH114" s="407">
        <f t="shared" si="113"/>
        <v>0</v>
      </c>
      <c r="AI114">
        <f t="shared" si="70"/>
        <v>0</v>
      </c>
      <c r="AJ114" s="408">
        <f t="shared" si="71"/>
        <v>0.20219673599999999</v>
      </c>
      <c r="AK114">
        <f t="shared" si="85"/>
        <v>2.52E-2</v>
      </c>
      <c r="AL114" s="408">
        <f t="shared" si="72"/>
        <v>4.4160000000000005E-2</v>
      </c>
      <c r="AM114" s="408">
        <f t="shared" si="86"/>
        <v>4.9347355729984298E-2</v>
      </c>
      <c r="AN114" s="408">
        <f t="shared" si="114"/>
        <v>6.9360000000000005E-2</v>
      </c>
      <c r="AO114" s="408">
        <f t="shared" si="115"/>
        <v>2.2404713520669595</v>
      </c>
      <c r="AP114">
        <f t="shared" si="74"/>
        <v>52.5</v>
      </c>
      <c r="AQ114" s="10">
        <f t="shared" si="116"/>
        <v>0.95907102557343316</v>
      </c>
      <c r="AR114" s="63">
        <f t="shared" si="117"/>
        <v>23.764726834630558</v>
      </c>
      <c r="AS114" s="63">
        <f t="shared" si="118"/>
        <v>30.008457470006661</v>
      </c>
      <c r="AT114" s="10"/>
      <c r="AU114">
        <f t="shared" si="119"/>
        <v>95.907102557343322</v>
      </c>
    </row>
    <row r="115" spans="7:47" x14ac:dyDescent="0.2">
      <c r="G115">
        <v>106</v>
      </c>
      <c r="H115">
        <f t="shared" si="55"/>
        <v>10.600000000000001</v>
      </c>
      <c r="I115" s="407">
        <f t="shared" si="97"/>
        <v>0.4060793650793651</v>
      </c>
      <c r="J115" s="408">
        <f t="shared" si="56"/>
        <v>6.6974895282186937</v>
      </c>
      <c r="K115" s="408">
        <f t="shared" si="77"/>
        <v>13.948744764109348</v>
      </c>
      <c r="L115" s="408">
        <f t="shared" si="98"/>
        <v>7.251255235890655</v>
      </c>
      <c r="M115" s="63">
        <f t="shared" si="57"/>
        <v>0</v>
      </c>
      <c r="N115" s="407">
        <f t="shared" si="99"/>
        <v>10.774879604820802</v>
      </c>
      <c r="O115" s="407">
        <f t="shared" si="100"/>
        <v>0.6087605110428207</v>
      </c>
      <c r="P115">
        <f t="shared" si="59"/>
        <v>0.2</v>
      </c>
      <c r="Q115" s="407">
        <f t="shared" si="80"/>
        <v>0.80876051104282065</v>
      </c>
      <c r="R115" s="9">
        <f t="shared" si="101"/>
        <v>1.9333986910058814</v>
      </c>
      <c r="S115" s="9">
        <f t="shared" si="102"/>
        <v>3.7380304983832555E-3</v>
      </c>
      <c r="T115" s="9">
        <f t="shared" si="103"/>
        <v>3.7380304983832555E-3</v>
      </c>
      <c r="U115" s="407">
        <f t="shared" si="104"/>
        <v>6.8662227251778143</v>
      </c>
      <c r="V115" s="409">
        <f t="shared" si="105"/>
        <v>9.4290029023496508E-2</v>
      </c>
      <c r="W115" s="407">
        <f t="shared" si="106"/>
        <v>9.4290029023496508E-2</v>
      </c>
      <c r="X115" s="407">
        <f t="shared" si="107"/>
        <v>6.8662227251778143</v>
      </c>
      <c r="Y115" s="407">
        <f t="shared" si="108"/>
        <v>0.2828700870704895</v>
      </c>
      <c r="Z115" s="407">
        <f t="shared" si="62"/>
        <v>0.10771015153236088</v>
      </c>
      <c r="AA115" s="407">
        <f t="shared" si="63"/>
        <v>6.4512E-2</v>
      </c>
      <c r="AB115" s="407">
        <f t="shared" si="64"/>
        <v>0</v>
      </c>
      <c r="AC115" s="407">
        <f t="shared" si="109"/>
        <v>0.48238255782976874</v>
      </c>
      <c r="AD115" s="407">
        <f t="shared" si="110"/>
        <v>8.3037952760551033</v>
      </c>
      <c r="AE115" s="407">
        <f t="shared" si="111"/>
        <v>0.41371809591981029</v>
      </c>
      <c r="AF115" s="407">
        <f t="shared" si="67"/>
        <v>0.14653440000000001</v>
      </c>
      <c r="AG115" s="407">
        <f t="shared" si="112"/>
        <v>0.61079160378408182</v>
      </c>
      <c r="AH115" s="407">
        <f t="shared" si="113"/>
        <v>0</v>
      </c>
      <c r="AI115">
        <f t="shared" si="70"/>
        <v>0</v>
      </c>
      <c r="AJ115" s="408">
        <f t="shared" si="71"/>
        <v>0.20218705920000002</v>
      </c>
      <c r="AK115">
        <f t="shared" si="85"/>
        <v>2.52E-2</v>
      </c>
      <c r="AL115" s="408">
        <f t="shared" si="72"/>
        <v>4.4160000000000005E-2</v>
      </c>
      <c r="AM115" s="408">
        <f t="shared" si="86"/>
        <v>4.9347355729984298E-2</v>
      </c>
      <c r="AN115" s="408">
        <f t="shared" si="114"/>
        <v>6.9360000000000005E-2</v>
      </c>
      <c r="AO115" s="408">
        <f t="shared" si="115"/>
        <v>2.2715097913785511</v>
      </c>
      <c r="AP115">
        <f t="shared" si="74"/>
        <v>53.000000000000007</v>
      </c>
      <c r="AQ115" s="10">
        <f t="shared" si="116"/>
        <v>0.95890270050605952</v>
      </c>
      <c r="AR115" s="63">
        <f t="shared" si="117"/>
        <v>24.119127891488436</v>
      </c>
      <c r="AS115" s="63">
        <f t="shared" si="118"/>
        <v>30.539580189204091</v>
      </c>
      <c r="AT115" s="10"/>
      <c r="AU115">
        <f t="shared" si="119"/>
        <v>95.890270050605949</v>
      </c>
    </row>
    <row r="116" spans="7:47" x14ac:dyDescent="0.2">
      <c r="G116">
        <v>107</v>
      </c>
      <c r="H116">
        <f t="shared" si="55"/>
        <v>10.700000000000001</v>
      </c>
      <c r="I116" s="407">
        <f t="shared" si="97"/>
        <v>0.40616666666666662</v>
      </c>
      <c r="J116" s="408">
        <f t="shared" si="56"/>
        <v>6.6989293981481461</v>
      </c>
      <c r="K116" s="408">
        <f t="shared" si="77"/>
        <v>14.049464699074074</v>
      </c>
      <c r="L116" s="408">
        <f t="shared" si="98"/>
        <v>7.3505353009259284</v>
      </c>
      <c r="M116" s="63">
        <f t="shared" si="57"/>
        <v>0</v>
      </c>
      <c r="N116" s="407">
        <f t="shared" si="99"/>
        <v>10.873345295880556</v>
      </c>
      <c r="O116" s="407">
        <f t="shared" si="100"/>
        <v>0.62049242763883117</v>
      </c>
      <c r="P116">
        <f t="shared" si="59"/>
        <v>0.2</v>
      </c>
      <c r="Q116" s="407">
        <f t="shared" si="80"/>
        <v>0.82049242763883123</v>
      </c>
      <c r="R116" s="9">
        <f t="shared" si="101"/>
        <v>1.9338143456515651</v>
      </c>
      <c r="S116" s="9">
        <f t="shared" si="102"/>
        <v>3.739637923447791E-3</v>
      </c>
      <c r="T116" s="9">
        <f t="shared" si="103"/>
        <v>3.739637923447791E-3</v>
      </c>
      <c r="U116" s="407">
        <f t="shared" si="104"/>
        <v>6.929714130941746</v>
      </c>
      <c r="V116" s="409">
        <f t="shared" si="105"/>
        <v>9.6041875873147428E-2</v>
      </c>
      <c r="W116" s="407">
        <f t="shared" si="106"/>
        <v>9.6041875873147428E-2</v>
      </c>
      <c r="X116" s="407">
        <f t="shared" si="107"/>
        <v>6.929714130941746</v>
      </c>
      <c r="Y116" s="407">
        <f t="shared" si="108"/>
        <v>0.28812562761944233</v>
      </c>
      <c r="Z116" s="407">
        <f t="shared" si="62"/>
        <v>0.10869784488582017</v>
      </c>
      <c r="AA116" s="407">
        <f t="shared" si="63"/>
        <v>6.4512E-2</v>
      </c>
      <c r="AB116" s="407">
        <f t="shared" si="64"/>
        <v>0</v>
      </c>
      <c r="AC116" s="407">
        <f t="shared" si="109"/>
        <v>0.48954559910325474</v>
      </c>
      <c r="AD116" s="407">
        <f t="shared" si="110"/>
        <v>8.3790631926769787</v>
      </c>
      <c r="AE116" s="407">
        <f t="shared" si="111"/>
        <v>0.42125219992124474</v>
      </c>
      <c r="AF116" s="407">
        <f t="shared" si="67"/>
        <v>0.14791680000000001</v>
      </c>
      <c r="AG116" s="407">
        <f t="shared" si="112"/>
        <v>0.62153346807117771</v>
      </c>
      <c r="AH116" s="407">
        <f t="shared" si="113"/>
        <v>0</v>
      </c>
      <c r="AI116">
        <f t="shared" si="70"/>
        <v>0</v>
      </c>
      <c r="AJ116" s="408">
        <f t="shared" si="71"/>
        <v>0.20217738239999999</v>
      </c>
      <c r="AK116">
        <f t="shared" si="85"/>
        <v>2.52E-2</v>
      </c>
      <c r="AL116" s="408">
        <f t="shared" si="72"/>
        <v>4.4160000000000005E-2</v>
      </c>
      <c r="AM116" s="408">
        <f t="shared" si="86"/>
        <v>4.9347355729984298E-2</v>
      </c>
      <c r="AN116" s="408">
        <f t="shared" si="114"/>
        <v>6.9360000000000005E-2</v>
      </c>
      <c r="AO116" s="408">
        <f t="shared" si="115"/>
        <v>2.3028903910098588</v>
      </c>
      <c r="AP116">
        <f t="shared" si="74"/>
        <v>53.500000000000007</v>
      </c>
      <c r="AQ116" s="10">
        <f t="shared" si="116"/>
        <v>0.95873170054680779</v>
      </c>
      <c r="AR116" s="63">
        <f t="shared" si="117"/>
        <v>24.477279955162736</v>
      </c>
      <c r="AS116" s="63">
        <f t="shared" si="118"/>
        <v>31.076673403558885</v>
      </c>
      <c r="AT116" s="10"/>
      <c r="AU116">
        <f t="shared" si="119"/>
        <v>95.873170054680784</v>
      </c>
    </row>
    <row r="117" spans="7:47" x14ac:dyDescent="0.2">
      <c r="G117">
        <v>108</v>
      </c>
      <c r="H117">
        <f t="shared" si="55"/>
        <v>10.8</v>
      </c>
      <c r="I117" s="407">
        <f t="shared" si="97"/>
        <v>0.40625396825396831</v>
      </c>
      <c r="J117" s="408">
        <f t="shared" si="56"/>
        <v>6.7003692680776012</v>
      </c>
      <c r="K117" s="408">
        <f t="shared" si="77"/>
        <v>14.150184634038801</v>
      </c>
      <c r="L117" s="408">
        <f t="shared" si="98"/>
        <v>7.4498153659612001</v>
      </c>
      <c r="M117" s="63">
        <f t="shared" si="57"/>
        <v>0</v>
      </c>
      <c r="N117" s="407">
        <f t="shared" si="99"/>
        <v>10.97183875629103</v>
      </c>
      <c r="O117" s="407">
        <f t="shared" si="100"/>
        <v>0.63235573700733838</v>
      </c>
      <c r="P117">
        <f t="shared" si="59"/>
        <v>0.2</v>
      </c>
      <c r="Q117" s="407">
        <f t="shared" si="80"/>
        <v>0.83235573700733845</v>
      </c>
      <c r="R117" s="9">
        <f t="shared" si="101"/>
        <v>1.9342300002972495</v>
      </c>
      <c r="S117" s="9">
        <f t="shared" si="102"/>
        <v>3.7412456940498977E-3</v>
      </c>
      <c r="T117" s="9">
        <f t="shared" si="103"/>
        <v>3.7412456940498977E-3</v>
      </c>
      <c r="U117" s="407">
        <f t="shared" si="104"/>
        <v>6.993236644541903</v>
      </c>
      <c r="V117" s="409">
        <f t="shared" si="105"/>
        <v>9.7810717533127395E-2</v>
      </c>
      <c r="W117" s="407">
        <f t="shared" si="106"/>
        <v>9.7810717533127395E-2</v>
      </c>
      <c r="X117" s="407">
        <f t="shared" si="107"/>
        <v>6.993236644541903</v>
      </c>
      <c r="Y117" s="407">
        <f t="shared" si="108"/>
        <v>0.29343215259938216</v>
      </c>
      <c r="Z117" s="407">
        <f t="shared" si="62"/>
        <v>0.10968553823927943</v>
      </c>
      <c r="AA117" s="407">
        <f t="shared" si="63"/>
        <v>6.4512E-2</v>
      </c>
      <c r="AB117" s="407">
        <f t="shared" si="64"/>
        <v>0</v>
      </c>
      <c r="AC117" s="407">
        <f t="shared" si="109"/>
        <v>0.49678418117028522</v>
      </c>
      <c r="AD117" s="407">
        <f t="shared" si="110"/>
        <v>8.454341306541048</v>
      </c>
      <c r="AE117" s="407">
        <f t="shared" si="111"/>
        <v>0.42885532156491724</v>
      </c>
      <c r="AF117" s="407">
        <f t="shared" si="67"/>
        <v>0.14929919999999999</v>
      </c>
      <c r="AG117" s="407">
        <f t="shared" si="112"/>
        <v>0.63239578074659253</v>
      </c>
      <c r="AH117" s="407">
        <f t="shared" si="113"/>
        <v>0</v>
      </c>
      <c r="AI117">
        <f t="shared" si="70"/>
        <v>0</v>
      </c>
      <c r="AJ117" s="408">
        <f t="shared" si="71"/>
        <v>0.2021677056</v>
      </c>
      <c r="AK117">
        <f t="shared" si="85"/>
        <v>2.52E-2</v>
      </c>
      <c r="AL117" s="408">
        <f t="shared" si="72"/>
        <v>4.4160000000000005E-2</v>
      </c>
      <c r="AM117" s="408">
        <f t="shared" si="86"/>
        <v>4.9347355729984298E-2</v>
      </c>
      <c r="AN117" s="408">
        <f t="shared" si="114"/>
        <v>6.9360000000000005E-2</v>
      </c>
      <c r="AO117" s="408">
        <f t="shared" si="115"/>
        <v>2.3346153677513937</v>
      </c>
      <c r="AP117">
        <f t="shared" si="74"/>
        <v>54</v>
      </c>
      <c r="AQ117" s="10">
        <f t="shared" si="116"/>
        <v>0.95855806678520716</v>
      </c>
      <c r="AR117" s="63">
        <f t="shared" si="117"/>
        <v>24.83920905851426</v>
      </c>
      <c r="AS117" s="63">
        <f t="shared" si="118"/>
        <v>31.619789037329625</v>
      </c>
      <c r="AT117" s="10"/>
      <c r="AU117">
        <f t="shared" si="119"/>
        <v>95.855806678520722</v>
      </c>
    </row>
    <row r="118" spans="7:47" x14ac:dyDescent="0.2">
      <c r="G118">
        <v>109</v>
      </c>
      <c r="H118">
        <f t="shared" si="55"/>
        <v>10.9</v>
      </c>
      <c r="I118" s="407">
        <f t="shared" si="97"/>
        <v>0.40634126984126989</v>
      </c>
      <c r="J118" s="408">
        <f t="shared" si="56"/>
        <v>6.7018091380070546</v>
      </c>
      <c r="K118" s="408">
        <f t="shared" si="77"/>
        <v>14.250904569003527</v>
      </c>
      <c r="L118" s="408">
        <f t="shared" si="98"/>
        <v>7.5490954309964735</v>
      </c>
      <c r="M118" s="63">
        <f t="shared" si="57"/>
        <v>0</v>
      </c>
      <c r="N118" s="407">
        <f t="shared" si="99"/>
        <v>11.070359244856942</v>
      </c>
      <c r="O118" s="407">
        <f t="shared" si="100"/>
        <v>0.64435109528406098</v>
      </c>
      <c r="P118">
        <f t="shared" si="59"/>
        <v>0.2</v>
      </c>
      <c r="Q118" s="407">
        <f t="shared" si="80"/>
        <v>0.84435109528406094</v>
      </c>
      <c r="R118" s="9">
        <f t="shared" si="101"/>
        <v>1.9346456549429334</v>
      </c>
      <c r="S118" s="9">
        <f t="shared" si="102"/>
        <v>3.7428538101895717E-3</v>
      </c>
      <c r="T118" s="9">
        <f t="shared" si="103"/>
        <v>3.7428538101895717E-3</v>
      </c>
      <c r="U118" s="407">
        <f t="shared" si="104"/>
        <v>7.0567897970609792</v>
      </c>
      <c r="V118" s="409">
        <f t="shared" si="105"/>
        <v>9.9596564479807873E-2</v>
      </c>
      <c r="W118" s="407">
        <f t="shared" si="106"/>
        <v>9.9596564479807873E-2</v>
      </c>
      <c r="X118" s="407">
        <f t="shared" si="107"/>
        <v>7.0567897970609792</v>
      </c>
      <c r="Y118" s="407">
        <f t="shared" si="108"/>
        <v>0.29878969343942363</v>
      </c>
      <c r="Z118" s="407">
        <f t="shared" si="62"/>
        <v>0.1106732315927387</v>
      </c>
      <c r="AA118" s="407">
        <f t="shared" si="63"/>
        <v>6.4512E-2</v>
      </c>
      <c r="AB118" s="407">
        <f t="shared" si="64"/>
        <v>0</v>
      </c>
      <c r="AC118" s="407">
        <f t="shared" si="109"/>
        <v>0.50409883213555295</v>
      </c>
      <c r="AD118" s="407">
        <f t="shared" si="110"/>
        <v>8.5296290406022717</v>
      </c>
      <c r="AE118" s="407">
        <f t="shared" si="111"/>
        <v>0.4365274294217138</v>
      </c>
      <c r="AF118" s="407">
        <f t="shared" si="67"/>
        <v>0.1506816</v>
      </c>
      <c r="AG118" s="407">
        <f t="shared" si="112"/>
        <v>0.6433795978172191</v>
      </c>
      <c r="AH118" s="407">
        <f t="shared" si="113"/>
        <v>0</v>
      </c>
      <c r="AI118">
        <f t="shared" si="70"/>
        <v>0</v>
      </c>
      <c r="AJ118" s="408">
        <f t="shared" si="71"/>
        <v>0.2021580288</v>
      </c>
      <c r="AK118">
        <f t="shared" si="85"/>
        <v>2.52E-2</v>
      </c>
      <c r="AL118" s="408">
        <f t="shared" si="72"/>
        <v>4.4160000000000005E-2</v>
      </c>
      <c r="AM118" s="408">
        <f t="shared" si="86"/>
        <v>4.9347355729984298E-2</v>
      </c>
      <c r="AN118" s="408">
        <f t="shared" si="114"/>
        <v>6.9360000000000005E-2</v>
      </c>
      <c r="AO118" s="408">
        <f t="shared" si="115"/>
        <v>2.3666869723268307</v>
      </c>
      <c r="AP118">
        <f t="shared" si="74"/>
        <v>54.5</v>
      </c>
      <c r="AQ118" s="10">
        <f t="shared" si="116"/>
        <v>0.95838183832515966</v>
      </c>
      <c r="AR118" s="63">
        <f t="shared" si="117"/>
        <v>25.204941606777648</v>
      </c>
      <c r="AS118" s="63">
        <f t="shared" si="118"/>
        <v>32.168979890860953</v>
      </c>
      <c r="AT118" s="10"/>
      <c r="AU118">
        <f t="shared" si="119"/>
        <v>95.838183832515966</v>
      </c>
    </row>
    <row r="119" spans="7:47" x14ac:dyDescent="0.2">
      <c r="G119">
        <v>110</v>
      </c>
      <c r="H119">
        <f t="shared" si="55"/>
        <v>11</v>
      </c>
      <c r="I119" s="407">
        <f t="shared" si="97"/>
        <v>0.40642857142857142</v>
      </c>
      <c r="J119" s="408">
        <f t="shared" si="56"/>
        <v>6.703249007936507</v>
      </c>
      <c r="K119" s="408">
        <f t="shared" si="77"/>
        <v>14.351624503968253</v>
      </c>
      <c r="L119" s="408">
        <f t="shared" si="98"/>
        <v>7.6483754960317469</v>
      </c>
      <c r="M119" s="63">
        <f t="shared" si="57"/>
        <v>0</v>
      </c>
      <c r="N119" s="407">
        <f t="shared" si="99"/>
        <v>11.168906046335371</v>
      </c>
      <c r="O119" s="407">
        <f t="shared" si="100"/>
        <v>0.65647916766453196</v>
      </c>
      <c r="P119">
        <f t="shared" si="59"/>
        <v>0.2</v>
      </c>
      <c r="Q119" s="407">
        <f t="shared" si="80"/>
        <v>0.85647916766453203</v>
      </c>
      <c r="R119" s="9">
        <f t="shared" si="101"/>
        <v>1.9350613095886171</v>
      </c>
      <c r="S119" s="9">
        <f t="shared" si="102"/>
        <v>3.7444622718668138E-3</v>
      </c>
      <c r="T119" s="9">
        <f t="shared" si="103"/>
        <v>3.7444622718668138E-3</v>
      </c>
      <c r="U119" s="407">
        <f t="shared" si="104"/>
        <v>7.1203731359234359</v>
      </c>
      <c r="V119" s="409">
        <f t="shared" si="105"/>
        <v>0.10139942718956028</v>
      </c>
      <c r="W119" s="407">
        <f t="shared" si="106"/>
        <v>0.10139942718956028</v>
      </c>
      <c r="X119" s="407">
        <f t="shared" si="107"/>
        <v>7.1203731359234359</v>
      </c>
      <c r="Y119" s="407">
        <f t="shared" si="108"/>
        <v>0.30419828156868084</v>
      </c>
      <c r="Z119" s="407">
        <f t="shared" si="62"/>
        <v>0.11166092494619798</v>
      </c>
      <c r="AA119" s="407">
        <f t="shared" si="63"/>
        <v>6.4512E-2</v>
      </c>
      <c r="AB119" s="407">
        <f t="shared" si="64"/>
        <v>0</v>
      </c>
      <c r="AC119" s="407">
        <f t="shared" si="109"/>
        <v>0.51149008765573656</v>
      </c>
      <c r="AD119" s="407">
        <f t="shared" si="110"/>
        <v>8.6049258379771452</v>
      </c>
      <c r="AE119" s="407">
        <f t="shared" si="111"/>
        <v>0.44426849206252006</v>
      </c>
      <c r="AF119" s="407">
        <f t="shared" si="67"/>
        <v>0.152064</v>
      </c>
      <c r="AG119" s="407">
        <f t="shared" si="112"/>
        <v>0.65448599310947775</v>
      </c>
      <c r="AH119" s="407">
        <f t="shared" si="113"/>
        <v>0</v>
      </c>
      <c r="AI119">
        <f t="shared" si="70"/>
        <v>0</v>
      </c>
      <c r="AJ119" s="408">
        <f t="shared" si="71"/>
        <v>0.20214835199999998</v>
      </c>
      <c r="AK119">
        <f t="shared" si="85"/>
        <v>2.52E-2</v>
      </c>
      <c r="AL119" s="408">
        <f t="shared" si="72"/>
        <v>4.4160000000000005E-2</v>
      </c>
      <c r="AM119" s="408">
        <f t="shared" si="86"/>
        <v>4.9347355729984298E-2</v>
      </c>
      <c r="AN119" s="408">
        <f t="shared" si="114"/>
        <v>6.9360000000000005E-2</v>
      </c>
      <c r="AO119" s="408">
        <f t="shared" si="115"/>
        <v>2.3991074898911733</v>
      </c>
      <c r="AP119">
        <f t="shared" si="74"/>
        <v>55</v>
      </c>
      <c r="AQ119" s="10">
        <f t="shared" si="116"/>
        <v>0.95820305236777958</v>
      </c>
      <c r="AR119" s="63">
        <f t="shared" si="117"/>
        <v>25.574504382786827</v>
      </c>
      <c r="AS119" s="63">
        <f t="shared" si="118"/>
        <v>32.724299655473885</v>
      </c>
      <c r="AT119" s="10"/>
      <c r="AU119">
        <f t="shared" si="119"/>
        <v>95.820305236777955</v>
      </c>
    </row>
    <row r="120" spans="7:47" x14ac:dyDescent="0.2">
      <c r="G120">
        <v>111</v>
      </c>
      <c r="H120">
        <f t="shared" si="55"/>
        <v>11.100000000000001</v>
      </c>
      <c r="I120" s="407">
        <f t="shared" si="97"/>
        <v>0.40651587301587305</v>
      </c>
      <c r="J120" s="408">
        <f t="shared" si="56"/>
        <v>6.7046888778659604</v>
      </c>
      <c r="K120" s="408">
        <f t="shared" si="77"/>
        <v>14.452344438932982</v>
      </c>
      <c r="L120" s="408">
        <f t="shared" si="98"/>
        <v>7.7476555610670212</v>
      </c>
      <c r="M120" s="63">
        <f t="shared" si="57"/>
        <v>0</v>
      </c>
      <c r="N120" s="407">
        <f t="shared" si="99"/>
        <v>11.267478470318089</v>
      </c>
      <c r="O120" s="407">
        <f t="shared" si="100"/>
        <v>0.66874062850161675</v>
      </c>
      <c r="P120">
        <f t="shared" si="59"/>
        <v>0.2</v>
      </c>
      <c r="Q120" s="407">
        <f t="shared" si="80"/>
        <v>0.86874062850161682</v>
      </c>
      <c r="R120" s="9">
        <f t="shared" si="101"/>
        <v>1.9354769642343013</v>
      </c>
      <c r="S120" s="9">
        <f t="shared" si="102"/>
        <v>3.7460710790816268E-3</v>
      </c>
      <c r="T120" s="9">
        <f t="shared" si="103"/>
        <v>3.7460710790816268E-3</v>
      </c>
      <c r="U120" s="407">
        <f t="shared" si="104"/>
        <v>7.1839862241918393</v>
      </c>
      <c r="V120" s="409">
        <f t="shared" si="105"/>
        <v>0.10321931613875625</v>
      </c>
      <c r="W120" s="407">
        <f t="shared" si="106"/>
        <v>0.10321931613875625</v>
      </c>
      <c r="X120" s="407">
        <f t="shared" si="107"/>
        <v>7.1839862241918393</v>
      </c>
      <c r="Y120" s="407">
        <f t="shared" si="108"/>
        <v>0.3096579484162687</v>
      </c>
      <c r="Z120" s="407">
        <f t="shared" si="62"/>
        <v>0.11264861829965725</v>
      </c>
      <c r="AA120" s="407">
        <f t="shared" si="63"/>
        <v>6.4512E-2</v>
      </c>
      <c r="AB120" s="407">
        <f t="shared" si="64"/>
        <v>0</v>
      </c>
      <c r="AC120" s="407">
        <f t="shared" si="109"/>
        <v>0.51895849104602909</v>
      </c>
      <c r="AD120" s="407">
        <f t="shared" si="110"/>
        <v>8.6802311610753513</v>
      </c>
      <c r="AE120" s="407">
        <f t="shared" si="111"/>
        <v>0.45207847805822127</v>
      </c>
      <c r="AF120" s="407">
        <f t="shared" si="67"/>
        <v>0.15344640000000001</v>
      </c>
      <c r="AG120" s="407">
        <f t="shared" si="112"/>
        <v>0.66571605857403471</v>
      </c>
      <c r="AH120" s="407">
        <f t="shared" si="113"/>
        <v>0</v>
      </c>
      <c r="AI120">
        <f t="shared" si="70"/>
        <v>0</v>
      </c>
      <c r="AJ120" s="408">
        <f t="shared" si="71"/>
        <v>0.20213867520000001</v>
      </c>
      <c r="AK120">
        <f t="shared" si="85"/>
        <v>2.52E-2</v>
      </c>
      <c r="AL120" s="408">
        <f t="shared" si="72"/>
        <v>4.4160000000000005E-2</v>
      </c>
      <c r="AM120" s="408">
        <f t="shared" si="86"/>
        <v>4.9347355729984298E-2</v>
      </c>
      <c r="AN120" s="408">
        <f t="shared" si="114"/>
        <v>6.9360000000000005E-2</v>
      </c>
      <c r="AO120" s="408">
        <f t="shared" si="115"/>
        <v>2.4318792405395189</v>
      </c>
      <c r="AP120">
        <f t="shared" si="74"/>
        <v>55.500000000000007</v>
      </c>
      <c r="AQ120" s="10">
        <f t="shared" si="116"/>
        <v>0.95802174428966669</v>
      </c>
      <c r="AR120" s="63">
        <f t="shared" si="117"/>
        <v>25.947924552301455</v>
      </c>
      <c r="AS120" s="63">
        <f t="shared" si="118"/>
        <v>33.285802928701735</v>
      </c>
      <c r="AT120" s="10"/>
      <c r="AU120">
        <f t="shared" si="119"/>
        <v>95.802174428966666</v>
      </c>
    </row>
    <row r="121" spans="7:47" x14ac:dyDescent="0.2">
      <c r="G121">
        <v>112</v>
      </c>
      <c r="H121">
        <f t="shared" si="55"/>
        <v>11.200000000000001</v>
      </c>
      <c r="I121" s="407">
        <f t="shared" si="97"/>
        <v>0.40660317460317458</v>
      </c>
      <c r="J121" s="408">
        <f t="shared" si="56"/>
        <v>6.7061287477954128</v>
      </c>
      <c r="K121" s="408">
        <f t="shared" si="77"/>
        <v>14.553064373897708</v>
      </c>
      <c r="L121" s="408">
        <f t="shared" si="98"/>
        <v>7.8469356261022947</v>
      </c>
      <c r="M121" s="63">
        <f t="shared" si="57"/>
        <v>0</v>
      </c>
      <c r="N121" s="407">
        <f t="shared" si="99"/>
        <v>11.36607585017072</v>
      </c>
      <c r="O121" s="407">
        <f t="shared" si="100"/>
        <v>0.68113616140472744</v>
      </c>
      <c r="P121">
        <f t="shared" si="59"/>
        <v>0.2</v>
      </c>
      <c r="Q121" s="407">
        <f t="shared" si="80"/>
        <v>0.8811361614047275</v>
      </c>
      <c r="R121" s="9">
        <f t="shared" si="101"/>
        <v>1.935892618879985</v>
      </c>
      <c r="S121" s="9">
        <f t="shared" si="102"/>
        <v>3.747680231834007E-3</v>
      </c>
      <c r="T121" s="9">
        <f t="shared" si="103"/>
        <v>3.747680231834007E-3</v>
      </c>
      <c r="U121" s="407">
        <f t="shared" si="104"/>
        <v>7.2476286398989505</v>
      </c>
      <c r="V121" s="409">
        <f t="shared" si="105"/>
        <v>0.10505624180376702</v>
      </c>
      <c r="W121" s="407">
        <f t="shared" si="106"/>
        <v>0.10505624180376702</v>
      </c>
      <c r="X121" s="407">
        <f t="shared" si="107"/>
        <v>7.2476286398989505</v>
      </c>
      <c r="Y121" s="407">
        <f t="shared" si="108"/>
        <v>0.31516872541130109</v>
      </c>
      <c r="Z121" s="407">
        <f t="shared" si="62"/>
        <v>0.11363631165311651</v>
      </c>
      <c r="AA121" s="407">
        <f t="shared" si="63"/>
        <v>6.4512E-2</v>
      </c>
      <c r="AB121" s="407">
        <f t="shared" si="64"/>
        <v>0</v>
      </c>
      <c r="AC121" s="407">
        <f t="shared" si="109"/>
        <v>0.52650459338872135</v>
      </c>
      <c r="AD121" s="407">
        <f t="shared" si="110"/>
        <v>8.7555444907755771</v>
      </c>
      <c r="AE121" s="407">
        <f t="shared" si="111"/>
        <v>0.45995735597970333</v>
      </c>
      <c r="AF121" s="407">
        <f t="shared" si="67"/>
        <v>0.15482880000000002</v>
      </c>
      <c r="AG121" s="407">
        <f t="shared" si="112"/>
        <v>0.67707090459760322</v>
      </c>
      <c r="AH121" s="407">
        <f t="shared" si="113"/>
        <v>0</v>
      </c>
      <c r="AI121">
        <f t="shared" si="70"/>
        <v>0</v>
      </c>
      <c r="AJ121" s="408">
        <f t="shared" si="71"/>
        <v>0.20212899840000001</v>
      </c>
      <c r="AK121">
        <f t="shared" si="85"/>
        <v>2.52E-2</v>
      </c>
      <c r="AL121" s="408">
        <f t="shared" si="72"/>
        <v>4.4160000000000005E-2</v>
      </c>
      <c r="AM121" s="408">
        <f t="shared" si="86"/>
        <v>4.9347355729984298E-2</v>
      </c>
      <c r="AN121" s="408">
        <f t="shared" si="114"/>
        <v>6.9360000000000005E-2</v>
      </c>
      <c r="AO121" s="408">
        <f t="shared" si="115"/>
        <v>2.4650045798266533</v>
      </c>
      <c r="AP121">
        <f t="shared" si="74"/>
        <v>56.000000000000007</v>
      </c>
      <c r="AQ121" s="10">
        <f t="shared" si="116"/>
        <v>0.95783794771689446</v>
      </c>
      <c r="AR121" s="63">
        <f t="shared" si="117"/>
        <v>26.325229669436069</v>
      </c>
      <c r="AS121" s="63">
        <f t="shared" si="118"/>
        <v>33.853545229880162</v>
      </c>
      <c r="AT121" s="10"/>
      <c r="AU121">
        <f t="shared" si="119"/>
        <v>95.783794771689443</v>
      </c>
    </row>
    <row r="122" spans="7:47" x14ac:dyDescent="0.2">
      <c r="G122">
        <v>113</v>
      </c>
      <c r="H122">
        <f t="shared" si="55"/>
        <v>11.299999999999999</v>
      </c>
      <c r="I122" s="407">
        <f t="shared" si="97"/>
        <v>0.40669047619047621</v>
      </c>
      <c r="J122" s="408">
        <f t="shared" si="56"/>
        <v>6.707568617724867</v>
      </c>
      <c r="K122" s="408">
        <f t="shared" si="77"/>
        <v>14.653784308862432</v>
      </c>
      <c r="L122" s="408">
        <f t="shared" si="98"/>
        <v>7.9462156911375654</v>
      </c>
      <c r="M122" s="63">
        <f t="shared" si="57"/>
        <v>0</v>
      </c>
      <c r="N122" s="407">
        <f t="shared" si="99"/>
        <v>11.46469754202543</v>
      </c>
      <c r="O122" s="407">
        <f t="shared" si="100"/>
        <v>0.69366645934076365</v>
      </c>
      <c r="P122">
        <f t="shared" si="59"/>
        <v>0.2</v>
      </c>
      <c r="Q122" s="407">
        <f t="shared" si="80"/>
        <v>0.89366645934076372</v>
      </c>
      <c r="R122" s="9">
        <f t="shared" si="101"/>
        <v>1.9363082735256691</v>
      </c>
      <c r="S122" s="9">
        <f t="shared" si="102"/>
        <v>3.7492897301239577E-3</v>
      </c>
      <c r="T122" s="9">
        <f t="shared" si="103"/>
        <v>3.7492897301239577E-3</v>
      </c>
      <c r="U122" s="407">
        <f t="shared" si="104"/>
        <v>7.3112999754135428</v>
      </c>
      <c r="V122" s="409">
        <f t="shared" si="105"/>
        <v>0.10691021466096415</v>
      </c>
      <c r="W122" s="407">
        <f t="shared" si="106"/>
        <v>0.10691021466096415</v>
      </c>
      <c r="X122" s="407">
        <f t="shared" si="107"/>
        <v>7.3112999754135428</v>
      </c>
      <c r="Y122" s="407">
        <f t="shared" si="108"/>
        <v>0.32073064398289242</v>
      </c>
      <c r="Z122" s="407">
        <f t="shared" si="62"/>
        <v>0.11462400500657577</v>
      </c>
      <c r="AA122" s="407">
        <f t="shared" si="63"/>
        <v>6.4512E-2</v>
      </c>
      <c r="AB122" s="407">
        <f t="shared" si="64"/>
        <v>0</v>
      </c>
      <c r="AC122" s="407">
        <f t="shared" si="109"/>
        <v>0.5341289536438909</v>
      </c>
      <c r="AD122" s="407">
        <f t="shared" si="110"/>
        <v>8.830865325642888</v>
      </c>
      <c r="AE122" s="407">
        <f t="shared" si="111"/>
        <v>0.46790509439785122</v>
      </c>
      <c r="AF122" s="407">
        <f t="shared" si="67"/>
        <v>0.15621119999999997</v>
      </c>
      <c r="AG122" s="407">
        <f t="shared" si="112"/>
        <v>0.6885516603220041</v>
      </c>
      <c r="AH122" s="407">
        <f t="shared" si="113"/>
        <v>0</v>
      </c>
      <c r="AI122">
        <f t="shared" si="70"/>
        <v>0</v>
      </c>
      <c r="AJ122" s="408">
        <f t="shared" si="71"/>
        <v>0.20211932159999998</v>
      </c>
      <c r="AK122">
        <f t="shared" si="85"/>
        <v>2.52E-2</v>
      </c>
      <c r="AL122" s="408">
        <f t="shared" si="72"/>
        <v>4.4160000000000005E-2</v>
      </c>
      <c r="AM122" s="408">
        <f t="shared" si="86"/>
        <v>4.9347355729984298E-2</v>
      </c>
      <c r="AN122" s="408">
        <f t="shared" si="114"/>
        <v>6.9360000000000005E-2</v>
      </c>
      <c r="AO122" s="408">
        <f t="shared" si="115"/>
        <v>2.4984858992977466</v>
      </c>
      <c r="AP122">
        <f t="shared" si="74"/>
        <v>56.499999999999993</v>
      </c>
      <c r="AQ122" s="10">
        <f t="shared" si="116"/>
        <v>0.95765169459497113</v>
      </c>
      <c r="AR122" s="63">
        <f t="shared" si="117"/>
        <v>26.706447682194543</v>
      </c>
      <c r="AS122" s="63">
        <f t="shared" si="118"/>
        <v>34.427583016100208</v>
      </c>
      <c r="AT122" s="10"/>
      <c r="AU122">
        <f t="shared" si="119"/>
        <v>95.765169459497116</v>
      </c>
    </row>
    <row r="123" spans="7:47" x14ac:dyDescent="0.2">
      <c r="G123">
        <v>114</v>
      </c>
      <c r="H123">
        <f t="shared" si="55"/>
        <v>11.399999999999999</v>
      </c>
      <c r="I123" s="407">
        <f t="shared" si="97"/>
        <v>0.40677777777777779</v>
      </c>
      <c r="J123" s="408">
        <f t="shared" si="56"/>
        <v>6.7090084876543203</v>
      </c>
      <c r="K123" s="408">
        <f t="shared" si="77"/>
        <v>14.754504243827158</v>
      </c>
      <c r="L123" s="408">
        <f t="shared" si="98"/>
        <v>8.0454957561728389</v>
      </c>
      <c r="M123" s="63">
        <f t="shared" si="57"/>
        <v>0</v>
      </c>
      <c r="N123" s="407">
        <f t="shared" si="99"/>
        <v>11.563342923824038</v>
      </c>
      <c r="O123" s="407">
        <f t="shared" si="100"/>
        <v>0.7063322247368089</v>
      </c>
      <c r="P123">
        <f t="shared" si="59"/>
        <v>0.2</v>
      </c>
      <c r="Q123" s="407">
        <f t="shared" si="80"/>
        <v>0.90633222473680886</v>
      </c>
      <c r="R123" s="9">
        <f t="shared" si="101"/>
        <v>1.9367239281713531</v>
      </c>
      <c r="S123" s="9">
        <f t="shared" si="102"/>
        <v>3.7508995739514764E-3</v>
      </c>
      <c r="T123" s="9">
        <f t="shared" si="103"/>
        <v>3.7508995739514764E-3</v>
      </c>
      <c r="U123" s="407">
        <f t="shared" si="104"/>
        <v>7.3749998368379366</v>
      </c>
      <c r="V123" s="409">
        <f t="shared" si="105"/>
        <v>0.10878124518671918</v>
      </c>
      <c r="W123" s="407">
        <f t="shared" si="106"/>
        <v>0.10878124518671918</v>
      </c>
      <c r="X123" s="407">
        <f t="shared" si="107"/>
        <v>7.3749998368379366</v>
      </c>
      <c r="Y123" s="407">
        <f t="shared" si="108"/>
        <v>0.32634373556015756</v>
      </c>
      <c r="Z123" s="407">
        <f t="shared" si="62"/>
        <v>0.11561169836003503</v>
      </c>
      <c r="AA123" s="407">
        <f t="shared" si="63"/>
        <v>6.4512E-2</v>
      </c>
      <c r="AB123" s="407">
        <f t="shared" si="64"/>
        <v>0</v>
      </c>
      <c r="AC123" s="407">
        <f t="shared" si="109"/>
        <v>0.54183213876223613</v>
      </c>
      <c r="AD123" s="407">
        <f t="shared" si="110"/>
        <v>8.9061931811853192</v>
      </c>
      <c r="AE123" s="407">
        <f t="shared" si="111"/>
        <v>0.47592166188355123</v>
      </c>
      <c r="AF123" s="407">
        <f t="shared" si="67"/>
        <v>0.15759359999999997</v>
      </c>
      <c r="AG123" s="407">
        <f t="shared" si="112"/>
        <v>0.70015947397067901</v>
      </c>
      <c r="AH123" s="407">
        <f t="shared" si="113"/>
        <v>0</v>
      </c>
      <c r="AI123">
        <f t="shared" si="70"/>
        <v>0</v>
      </c>
      <c r="AJ123" s="408">
        <f t="shared" si="71"/>
        <v>0.20210964479999999</v>
      </c>
      <c r="AK123">
        <f t="shared" si="85"/>
        <v>2.52E-2</v>
      </c>
      <c r="AL123" s="408">
        <f t="shared" si="72"/>
        <v>4.4160000000000005E-2</v>
      </c>
      <c r="AM123" s="408">
        <f t="shared" si="86"/>
        <v>4.9347355729984298E-2</v>
      </c>
      <c r="AN123" s="408">
        <f t="shared" si="114"/>
        <v>6.9360000000000005E-2</v>
      </c>
      <c r="AO123" s="408">
        <f t="shared" si="115"/>
        <v>2.5323256270303949</v>
      </c>
      <c r="AP123">
        <f t="shared" si="74"/>
        <v>56.999999999999993</v>
      </c>
      <c r="AQ123" s="10">
        <f t="shared" si="116"/>
        <v>0.95746301525501631</v>
      </c>
      <c r="AR123" s="63">
        <f t="shared" si="117"/>
        <v>27.091606938111806</v>
      </c>
      <c r="AS123" s="63">
        <f t="shared" si="118"/>
        <v>35.007973698533952</v>
      </c>
      <c r="AT123" s="10"/>
      <c r="AU123">
        <f t="shared" si="119"/>
        <v>95.746301525501636</v>
      </c>
    </row>
    <row r="124" spans="7:47" x14ac:dyDescent="0.2">
      <c r="G124">
        <v>115</v>
      </c>
      <c r="H124">
        <f t="shared" si="55"/>
        <v>11.5</v>
      </c>
      <c r="I124" s="407">
        <f t="shared" si="97"/>
        <v>0.40686507936507937</v>
      </c>
      <c r="J124" s="408">
        <f t="shared" si="56"/>
        <v>6.7104483575837737</v>
      </c>
      <c r="K124" s="408">
        <f t="shared" si="77"/>
        <v>14.855224178791886</v>
      </c>
      <c r="L124" s="408">
        <f t="shared" si="98"/>
        <v>8.1447758212081141</v>
      </c>
      <c r="M124" s="63">
        <f t="shared" si="57"/>
        <v>0</v>
      </c>
      <c r="N124" s="407">
        <f t="shared" si="99"/>
        <v>11.662011394408623</v>
      </c>
      <c r="O124" s="407">
        <f t="shared" si="100"/>
        <v>0.71913416958460885</v>
      </c>
      <c r="P124">
        <f t="shared" si="59"/>
        <v>0.2</v>
      </c>
      <c r="Q124" s="407">
        <f t="shared" si="80"/>
        <v>0.91913416958460892</v>
      </c>
      <c r="R124" s="9">
        <f t="shared" si="101"/>
        <v>1.937139582817037</v>
      </c>
      <c r="S124" s="9">
        <f t="shared" si="102"/>
        <v>3.7525097633165643E-3</v>
      </c>
      <c r="T124" s="9">
        <f t="shared" si="103"/>
        <v>3.7525097633165643E-3</v>
      </c>
      <c r="U124" s="407">
        <f t="shared" si="104"/>
        <v>7.4387278434354469</v>
      </c>
      <c r="V124" s="409">
        <f t="shared" si="105"/>
        <v>0.11066934385740355</v>
      </c>
      <c r="W124" s="407">
        <f t="shared" si="106"/>
        <v>0.11066934385740355</v>
      </c>
      <c r="X124" s="407">
        <f t="shared" si="107"/>
        <v>7.4387278434354469</v>
      </c>
      <c r="Y124" s="407">
        <f t="shared" si="108"/>
        <v>0.33200803157221065</v>
      </c>
      <c r="Z124" s="407">
        <f t="shared" si="62"/>
        <v>0.11659939171349432</v>
      </c>
      <c r="AA124" s="407">
        <f t="shared" si="63"/>
        <v>6.4512E-2</v>
      </c>
      <c r="AB124" s="407">
        <f t="shared" si="64"/>
        <v>0</v>
      </c>
      <c r="AC124" s="407">
        <f t="shared" si="109"/>
        <v>0.54961472380010012</v>
      </c>
      <c r="AD124" s="407">
        <f t="shared" si="110"/>
        <v>8.981527589147337</v>
      </c>
      <c r="AE124" s="407">
        <f t="shared" si="111"/>
        <v>0.48400702700768866</v>
      </c>
      <c r="AF124" s="407">
        <f t="shared" si="67"/>
        <v>0.15897600000000001</v>
      </c>
      <c r="AG124" s="407">
        <f t="shared" si="112"/>
        <v>0.71189551318283606</v>
      </c>
      <c r="AH124" s="407">
        <f t="shared" si="113"/>
        <v>0</v>
      </c>
      <c r="AI124">
        <f t="shared" si="70"/>
        <v>0</v>
      </c>
      <c r="AJ124" s="408">
        <f t="shared" si="71"/>
        <v>0.20209996799999999</v>
      </c>
      <c r="AK124">
        <f t="shared" si="85"/>
        <v>2.52E-2</v>
      </c>
      <c r="AL124" s="408">
        <f t="shared" si="72"/>
        <v>4.4160000000000005E-2</v>
      </c>
      <c r="AM124" s="408">
        <f t="shared" si="86"/>
        <v>4.9347355729984298E-2</v>
      </c>
      <c r="AN124" s="408">
        <f t="shared" si="114"/>
        <v>6.9360000000000005E-2</v>
      </c>
      <c r="AO124" s="408">
        <f t="shared" si="115"/>
        <v>2.5665262281882653</v>
      </c>
      <c r="AP124">
        <f t="shared" si="74"/>
        <v>57.5</v>
      </c>
      <c r="AQ124" s="10">
        <f t="shared" si="116"/>
        <v>0.95727193847637826</v>
      </c>
      <c r="AR124" s="63">
        <f t="shared" si="117"/>
        <v>27.480736190005008</v>
      </c>
      <c r="AS124" s="63">
        <f t="shared" si="118"/>
        <v>35.594775659141803</v>
      </c>
      <c r="AT124" s="10"/>
      <c r="AU124">
        <f t="shared" si="119"/>
        <v>95.727193847637821</v>
      </c>
    </row>
    <row r="125" spans="7:47" x14ac:dyDescent="0.2">
      <c r="G125">
        <v>116</v>
      </c>
      <c r="H125">
        <f t="shared" si="55"/>
        <v>11.6</v>
      </c>
      <c r="I125" s="407">
        <f t="shared" si="97"/>
        <v>0.40695238095238095</v>
      </c>
      <c r="J125" s="408">
        <f t="shared" si="56"/>
        <v>6.711888227513227</v>
      </c>
      <c r="K125" s="408">
        <f t="shared" si="77"/>
        <v>14.955944113756614</v>
      </c>
      <c r="L125" s="408">
        <f t="shared" si="98"/>
        <v>8.2440558862433857</v>
      </c>
      <c r="M125" s="63">
        <f t="shared" si="57"/>
        <v>0</v>
      </c>
      <c r="N125" s="407">
        <f t="shared" si="99"/>
        <v>11.760702372656967</v>
      </c>
      <c r="O125" s="407">
        <f t="shared" si="100"/>
        <v>0.73207301554686799</v>
      </c>
      <c r="P125">
        <f t="shared" si="59"/>
        <v>0.2</v>
      </c>
      <c r="Q125" s="407">
        <f t="shared" si="80"/>
        <v>0.93207301554686794</v>
      </c>
      <c r="R125" s="9">
        <f t="shared" si="101"/>
        <v>1.937555237462721</v>
      </c>
      <c r="S125" s="9">
        <f t="shared" si="102"/>
        <v>3.7541202982192211E-3</v>
      </c>
      <c r="T125" s="9">
        <f t="shared" si="103"/>
        <v>3.7541202982192211E-3</v>
      </c>
      <c r="U125" s="407">
        <f t="shared" si="104"/>
        <v>7.5024836270860558</v>
      </c>
      <c r="V125" s="409">
        <f t="shared" si="105"/>
        <v>0.11257452114938868</v>
      </c>
      <c r="W125" s="407">
        <f t="shared" si="106"/>
        <v>0.11257452114938868</v>
      </c>
      <c r="X125" s="407">
        <f t="shared" si="107"/>
        <v>7.5024836270860558</v>
      </c>
      <c r="Y125" s="407">
        <f t="shared" si="108"/>
        <v>0.33772356344816601</v>
      </c>
      <c r="Z125" s="407">
        <f t="shared" si="62"/>
        <v>0.11758708506695359</v>
      </c>
      <c r="AA125" s="407">
        <f t="shared" si="63"/>
        <v>6.4512E-2</v>
      </c>
      <c r="AB125" s="407">
        <f t="shared" si="64"/>
        <v>0</v>
      </c>
      <c r="AC125" s="407">
        <f t="shared" si="109"/>
        <v>0.55747729203673568</v>
      </c>
      <c r="AD125" s="407">
        <f t="shared" si="110"/>
        <v>9.0568680968381585</v>
      </c>
      <c r="AE125" s="407">
        <f t="shared" si="111"/>
        <v>0.4921611583411491</v>
      </c>
      <c r="AF125" s="407">
        <f t="shared" si="67"/>
        <v>0.16035839999999998</v>
      </c>
      <c r="AG125" s="407">
        <f t="shared" si="112"/>
        <v>0.7237609653554371</v>
      </c>
      <c r="AH125" s="407">
        <f t="shared" si="113"/>
        <v>0</v>
      </c>
      <c r="AI125">
        <f t="shared" si="70"/>
        <v>0</v>
      </c>
      <c r="AJ125" s="408">
        <f t="shared" si="71"/>
        <v>0.20209029119999999</v>
      </c>
      <c r="AK125">
        <f t="shared" si="85"/>
        <v>2.52E-2</v>
      </c>
      <c r="AL125" s="408">
        <f t="shared" si="72"/>
        <v>4.4160000000000005E-2</v>
      </c>
      <c r="AM125" s="408">
        <f t="shared" si="86"/>
        <v>4.9347355729984298E-2</v>
      </c>
      <c r="AN125" s="408">
        <f t="shared" si="114"/>
        <v>6.9360000000000005E-2</v>
      </c>
      <c r="AO125" s="408">
        <f t="shared" si="115"/>
        <v>2.6010902055866487</v>
      </c>
      <c r="AP125">
        <f t="shared" si="74"/>
        <v>58</v>
      </c>
      <c r="AQ125" s="10">
        <f t="shared" si="116"/>
        <v>0.95707849154590185</v>
      </c>
      <c r="AR125" s="63">
        <f t="shared" si="117"/>
        <v>27.873864601836786</v>
      </c>
      <c r="AS125" s="63">
        <f t="shared" si="118"/>
        <v>36.188048267771855</v>
      </c>
      <c r="AT125" s="10"/>
      <c r="AU125">
        <f t="shared" si="119"/>
        <v>95.707849154590178</v>
      </c>
    </row>
    <row r="126" spans="7:47" x14ac:dyDescent="0.2">
      <c r="G126">
        <v>117</v>
      </c>
      <c r="H126">
        <f t="shared" si="55"/>
        <v>11.7</v>
      </c>
      <c r="I126" s="407">
        <f t="shared" si="97"/>
        <v>0.40703968253968259</v>
      </c>
      <c r="J126" s="408">
        <f t="shared" si="56"/>
        <v>6.7133280974426812</v>
      </c>
      <c r="K126" s="408">
        <f t="shared" si="77"/>
        <v>15.056664048721339</v>
      </c>
      <c r="L126" s="408">
        <f t="shared" si="98"/>
        <v>8.3433359512786591</v>
      </c>
      <c r="M126" s="63">
        <f t="shared" si="57"/>
        <v>0</v>
      </c>
      <c r="N126" s="407">
        <f t="shared" si="99"/>
        <v>11.859415296660263</v>
      </c>
      <c r="O126" s="407">
        <f t="shared" si="100"/>
        <v>0.7451494940653911</v>
      </c>
      <c r="P126">
        <f t="shared" si="59"/>
        <v>0.2</v>
      </c>
      <c r="Q126" s="407">
        <f t="shared" si="80"/>
        <v>0.94514949406539106</v>
      </c>
      <c r="R126" s="9">
        <f t="shared" si="101"/>
        <v>1.9379708921084051</v>
      </c>
      <c r="S126" s="9">
        <f t="shared" si="102"/>
        <v>3.7557311786594475E-3</v>
      </c>
      <c r="T126" s="9">
        <f t="shared" si="103"/>
        <v>3.7557311786594475E-3</v>
      </c>
      <c r="U126" s="407">
        <f t="shared" si="104"/>
        <v>7.5662668317686945</v>
      </c>
      <c r="V126" s="409">
        <f t="shared" si="105"/>
        <v>0.11449678753904616</v>
      </c>
      <c r="W126" s="407">
        <f t="shared" si="106"/>
        <v>0.11449678753904616</v>
      </c>
      <c r="X126" s="407">
        <f t="shared" si="107"/>
        <v>7.5662668317686945</v>
      </c>
      <c r="Y126" s="407">
        <f t="shared" si="108"/>
        <v>0.34349036261713844</v>
      </c>
      <c r="Z126" s="407">
        <f t="shared" si="62"/>
        <v>0.11857477842041284</v>
      </c>
      <c r="AA126" s="407">
        <f t="shared" si="63"/>
        <v>6.4512E-2</v>
      </c>
      <c r="AB126" s="407">
        <f t="shared" si="64"/>
        <v>0</v>
      </c>
      <c r="AC126" s="407">
        <f t="shared" si="109"/>
        <v>0.56542043509385709</v>
      </c>
      <c r="AD126" s="407">
        <f t="shared" si="110"/>
        <v>9.1322142664928947</v>
      </c>
      <c r="AE126" s="407">
        <f t="shared" si="111"/>
        <v>0.50038402445481811</v>
      </c>
      <c r="AF126" s="407">
        <f t="shared" si="67"/>
        <v>0.16174079999999999</v>
      </c>
      <c r="AG126" s="407">
        <f t="shared" si="112"/>
        <v>0.73575703799321879</v>
      </c>
      <c r="AH126" s="407">
        <f t="shared" si="113"/>
        <v>0</v>
      </c>
      <c r="AI126">
        <f t="shared" si="70"/>
        <v>0</v>
      </c>
      <c r="AJ126" s="408">
        <f t="shared" si="71"/>
        <v>0.2020806144</v>
      </c>
      <c r="AK126">
        <f t="shared" si="85"/>
        <v>2.52E-2</v>
      </c>
      <c r="AL126" s="408">
        <f t="shared" si="72"/>
        <v>4.4160000000000005E-2</v>
      </c>
      <c r="AM126" s="408">
        <f t="shared" si="86"/>
        <v>4.9347355729984298E-2</v>
      </c>
      <c r="AN126" s="408">
        <f t="shared" si="114"/>
        <v>6.9360000000000005E-2</v>
      </c>
      <c r="AO126" s="408">
        <f t="shared" si="115"/>
        <v>2.6360201002701724</v>
      </c>
      <c r="AP126">
        <f t="shared" si="74"/>
        <v>58.5</v>
      </c>
      <c r="AQ126" s="10">
        <f t="shared" si="116"/>
        <v>0.95688270031404088</v>
      </c>
      <c r="AR126" s="63">
        <f t="shared" si="117"/>
        <v>28.271021754692853</v>
      </c>
      <c r="AS126" s="63">
        <f t="shared" si="118"/>
        <v>36.787851899660936</v>
      </c>
      <c r="AT126" s="10"/>
      <c r="AU126">
        <f t="shared" si="119"/>
        <v>95.688270031404087</v>
      </c>
    </row>
    <row r="127" spans="7:47" x14ac:dyDescent="0.2">
      <c r="G127">
        <v>118</v>
      </c>
      <c r="H127">
        <f t="shared" si="55"/>
        <v>11.799999999999999</v>
      </c>
      <c r="I127" s="407">
        <f t="shared" si="97"/>
        <v>0.40712698412698417</v>
      </c>
      <c r="J127" s="408">
        <f t="shared" si="56"/>
        <v>6.7147679673721337</v>
      </c>
      <c r="K127" s="408">
        <f t="shared" si="77"/>
        <v>15.157383983686065</v>
      </c>
      <c r="L127" s="408">
        <f t="shared" si="98"/>
        <v>8.4426160163139325</v>
      </c>
      <c r="M127" s="63">
        <f t="shared" si="57"/>
        <v>0</v>
      </c>
      <c r="N127" s="407">
        <f t="shared" si="99"/>
        <v>11.958149622940716</v>
      </c>
      <c r="O127" s="407">
        <f t="shared" si="100"/>
        <v>0.75836434647110507</v>
      </c>
      <c r="P127">
        <f t="shared" si="59"/>
        <v>0.2</v>
      </c>
      <c r="Q127" s="407">
        <f t="shared" si="80"/>
        <v>0.95836434647110513</v>
      </c>
      <c r="R127" s="9">
        <f t="shared" si="101"/>
        <v>1.9383865467540888</v>
      </c>
      <c r="S127" s="9">
        <f t="shared" si="102"/>
        <v>3.7573424046372416E-3</v>
      </c>
      <c r="T127" s="9">
        <f t="shared" si="103"/>
        <v>3.7573424046372416E-3</v>
      </c>
      <c r="U127" s="407">
        <f t="shared" si="104"/>
        <v>7.6300771130686256</v>
      </c>
      <c r="V127" s="409">
        <f t="shared" si="105"/>
        <v>0.1164361535027473</v>
      </c>
      <c r="W127" s="407">
        <f t="shared" si="106"/>
        <v>0.1164361535027473</v>
      </c>
      <c r="X127" s="407">
        <f t="shared" si="107"/>
        <v>7.6300771130686256</v>
      </c>
      <c r="Y127" s="407">
        <f t="shared" si="108"/>
        <v>0.34930846050824194</v>
      </c>
      <c r="Z127" s="407">
        <f t="shared" si="62"/>
        <v>0.11956247177387212</v>
      </c>
      <c r="AA127" s="407">
        <f t="shared" si="63"/>
        <v>6.4512E-2</v>
      </c>
      <c r="AB127" s="407">
        <f t="shared" si="64"/>
        <v>0</v>
      </c>
      <c r="AC127" s="407">
        <f t="shared" si="109"/>
        <v>0.57344475305752463</v>
      </c>
      <c r="AD127" s="407">
        <f t="shared" si="110"/>
        <v>9.2075656746646963</v>
      </c>
      <c r="AE127" s="407">
        <f t="shared" si="111"/>
        <v>0.50867559391958128</v>
      </c>
      <c r="AF127" s="407">
        <f t="shared" si="67"/>
        <v>0.16312319999999997</v>
      </c>
      <c r="AG127" s="407">
        <f t="shared" si="112"/>
        <v>0.74788495906696317</v>
      </c>
      <c r="AH127" s="407">
        <f t="shared" si="113"/>
        <v>0</v>
      </c>
      <c r="AI127">
        <f t="shared" si="70"/>
        <v>0</v>
      </c>
      <c r="AJ127" s="408">
        <f t="shared" si="71"/>
        <v>0.2020709376</v>
      </c>
      <c r="AK127">
        <f t="shared" si="85"/>
        <v>2.52E-2</v>
      </c>
      <c r="AL127" s="408">
        <f t="shared" si="72"/>
        <v>4.4160000000000005E-2</v>
      </c>
      <c r="AM127" s="408">
        <f t="shared" si="86"/>
        <v>4.9347355729984298E-2</v>
      </c>
      <c r="AN127" s="408">
        <f t="shared" si="114"/>
        <v>6.9360000000000005E-2</v>
      </c>
      <c r="AO127" s="408">
        <f t="shared" si="115"/>
        <v>2.6713184921029778</v>
      </c>
      <c r="AP127">
        <f t="shared" si="74"/>
        <v>58.999999999999993</v>
      </c>
      <c r="AQ127" s="10">
        <f t="shared" si="116"/>
        <v>0.95668458924799804</v>
      </c>
      <c r="AR127" s="63">
        <f t="shared" si="117"/>
        <v>28.67223765287623</v>
      </c>
      <c r="AS127" s="63">
        <f t="shared" si="118"/>
        <v>37.394247953348156</v>
      </c>
      <c r="AT127" s="10"/>
      <c r="AU127">
        <f t="shared" si="119"/>
        <v>95.668458924799808</v>
      </c>
    </row>
    <row r="128" spans="7:47" x14ac:dyDescent="0.2">
      <c r="G128">
        <v>119</v>
      </c>
      <c r="H128">
        <f t="shared" si="55"/>
        <v>11.899999999999999</v>
      </c>
      <c r="I128" s="407">
        <f t="shared" si="97"/>
        <v>0.4072142857142857</v>
      </c>
      <c r="J128" s="408">
        <f t="shared" si="56"/>
        <v>6.7162078373015861</v>
      </c>
      <c r="K128" s="408">
        <f t="shared" si="77"/>
        <v>15.258103918650791</v>
      </c>
      <c r="L128" s="408">
        <f t="shared" si="98"/>
        <v>8.541896081349206</v>
      </c>
      <c r="M128" s="63">
        <f t="shared" si="57"/>
        <v>0</v>
      </c>
      <c r="N128" s="407">
        <f t="shared" si="99"/>
        <v>12.056904825706827</v>
      </c>
      <c r="O128" s="407">
        <f t="shared" si="100"/>
        <v>0.77171832409598817</v>
      </c>
      <c r="P128">
        <f t="shared" si="59"/>
        <v>0.2</v>
      </c>
      <c r="Q128" s="407">
        <f t="shared" si="80"/>
        <v>0.97171832409598813</v>
      </c>
      <c r="R128" s="9">
        <f t="shared" si="101"/>
        <v>1.9388022013997726</v>
      </c>
      <c r="S128" s="9">
        <f t="shared" si="102"/>
        <v>3.7589539761526043E-3</v>
      </c>
      <c r="T128" s="9">
        <f t="shared" si="103"/>
        <v>3.7589539761526043E-3</v>
      </c>
      <c r="U128" s="407">
        <f t="shared" si="104"/>
        <v>7.6939141377085711</v>
      </c>
      <c r="V128" s="409">
        <f t="shared" si="105"/>
        <v>0.11839262951686365</v>
      </c>
      <c r="W128" s="407">
        <f t="shared" si="106"/>
        <v>0.11839262951686365</v>
      </c>
      <c r="X128" s="407">
        <f t="shared" si="107"/>
        <v>7.6939141377085711</v>
      </c>
      <c r="Y128" s="407">
        <f t="shared" si="108"/>
        <v>0.35517788855059096</v>
      </c>
      <c r="Z128" s="407">
        <f t="shared" si="62"/>
        <v>0.12055016512733138</v>
      </c>
      <c r="AA128" s="407">
        <f t="shared" si="63"/>
        <v>6.4512E-2</v>
      </c>
      <c r="AB128" s="407">
        <f t="shared" si="64"/>
        <v>0</v>
      </c>
      <c r="AC128" s="407">
        <f t="shared" si="109"/>
        <v>0.58155085460241807</v>
      </c>
      <c r="AD128" s="407">
        <f t="shared" si="110"/>
        <v>9.2829219116461772</v>
      </c>
      <c r="AE128" s="407">
        <f t="shared" si="111"/>
        <v>0.51703583530632424</v>
      </c>
      <c r="AF128" s="407">
        <f t="shared" si="67"/>
        <v>0.16450559999999997</v>
      </c>
      <c r="AG128" s="407">
        <f t="shared" si="112"/>
        <v>0.76014597738023015</v>
      </c>
      <c r="AH128" s="407">
        <f t="shared" si="113"/>
        <v>0</v>
      </c>
      <c r="AI128">
        <f t="shared" si="70"/>
        <v>0</v>
      </c>
      <c r="AJ128" s="408">
        <f t="shared" si="71"/>
        <v>0.20206126079999998</v>
      </c>
      <c r="AK128">
        <f t="shared" si="85"/>
        <v>2.52E-2</v>
      </c>
      <c r="AL128" s="408">
        <f t="shared" si="72"/>
        <v>4.4160000000000005E-2</v>
      </c>
      <c r="AM128" s="408">
        <f t="shared" si="86"/>
        <v>4.9347355729984298E-2</v>
      </c>
      <c r="AN128" s="408">
        <f t="shared" si="114"/>
        <v>6.9360000000000005E-2</v>
      </c>
      <c r="AO128" s="408">
        <f t="shared" si="115"/>
        <v>2.7069880003716524</v>
      </c>
      <c r="AP128">
        <f t="shared" si="74"/>
        <v>59.499999999999993</v>
      </c>
      <c r="AQ128" s="10">
        <f t="shared" si="116"/>
        <v>0.95648418148206305</v>
      </c>
      <c r="AR128" s="63">
        <f t="shared" si="117"/>
        <v>29.077542730120904</v>
      </c>
      <c r="AS128" s="63">
        <f t="shared" si="118"/>
        <v>38.007298869011507</v>
      </c>
      <c r="AT128" s="10"/>
      <c r="AU128">
        <f t="shared" si="119"/>
        <v>95.648418148206304</v>
      </c>
    </row>
    <row r="129" spans="7:47" x14ac:dyDescent="0.2">
      <c r="G129">
        <v>120</v>
      </c>
      <c r="H129">
        <f t="shared" si="55"/>
        <v>12</v>
      </c>
      <c r="I129" s="407">
        <f t="shared" si="97"/>
        <v>0.40730158730158728</v>
      </c>
      <c r="J129" s="408">
        <f t="shared" si="56"/>
        <v>6.7176477072310394</v>
      </c>
      <c r="K129" s="408">
        <f t="shared" si="77"/>
        <v>15.358823853615519</v>
      </c>
      <c r="L129" s="408">
        <f t="shared" si="98"/>
        <v>8.6411761463844812</v>
      </c>
      <c r="M129" s="63">
        <f t="shared" si="57"/>
        <v>0</v>
      </c>
      <c r="N129" s="407">
        <f t="shared" si="99"/>
        <v>12.155680396144245</v>
      </c>
      <c r="O129" s="407">
        <f t="shared" si="100"/>
        <v>0.78521218838694651</v>
      </c>
      <c r="P129">
        <f t="shared" si="59"/>
        <v>0.2</v>
      </c>
      <c r="Q129" s="407">
        <f t="shared" si="80"/>
        <v>0.98521218838694646</v>
      </c>
      <c r="R129" s="9">
        <f t="shared" si="101"/>
        <v>1.9392178560454565</v>
      </c>
      <c r="S129" s="9">
        <f t="shared" si="102"/>
        <v>3.7605658932055369E-3</v>
      </c>
      <c r="T129" s="9">
        <f t="shared" si="103"/>
        <v>3.7605658932055369E-3</v>
      </c>
      <c r="U129" s="407">
        <f t="shared" si="104"/>
        <v>7.7577775831022242</v>
      </c>
      <c r="V129" s="409">
        <f t="shared" si="105"/>
        <v>0.12036622605776678</v>
      </c>
      <c r="W129" s="407">
        <f t="shared" si="106"/>
        <v>0.12036622605776678</v>
      </c>
      <c r="X129" s="407">
        <f t="shared" si="107"/>
        <v>7.7577775831022242</v>
      </c>
      <c r="Y129" s="407">
        <f t="shared" si="108"/>
        <v>0.36109867817330032</v>
      </c>
      <c r="Z129" s="407">
        <f t="shared" si="62"/>
        <v>0.12153785848079067</v>
      </c>
      <c r="AA129" s="407">
        <f t="shared" si="63"/>
        <v>6.4512E-2</v>
      </c>
      <c r="AB129" s="407">
        <f t="shared" si="64"/>
        <v>0</v>
      </c>
      <c r="AC129" s="407">
        <f t="shared" si="109"/>
        <v>0.58973935711854686</v>
      </c>
      <c r="AD129" s="407">
        <f t="shared" si="110"/>
        <v>9.3582825809184733</v>
      </c>
      <c r="AE129" s="407">
        <f t="shared" si="111"/>
        <v>0.52546471718593279</v>
      </c>
      <c r="AF129" s="407">
        <f t="shared" si="67"/>
        <v>0.16588799999999998</v>
      </c>
      <c r="AG129" s="407">
        <f t="shared" si="112"/>
        <v>0.77254136294477505</v>
      </c>
      <c r="AH129" s="407">
        <f t="shared" si="113"/>
        <v>0</v>
      </c>
      <c r="AI129">
        <f t="shared" si="70"/>
        <v>0</v>
      </c>
      <c r="AJ129" s="408">
        <f t="shared" si="71"/>
        <v>0.20205158400000001</v>
      </c>
      <c r="AK129">
        <f t="shared" si="85"/>
        <v>2.52E-2</v>
      </c>
      <c r="AL129" s="408">
        <f t="shared" si="72"/>
        <v>4.4160000000000005E-2</v>
      </c>
      <c r="AM129" s="408">
        <f t="shared" si="86"/>
        <v>4.9347355729984298E-2</v>
      </c>
      <c r="AN129" s="408">
        <f t="shared" si="114"/>
        <v>6.9360000000000005E-2</v>
      </c>
      <c r="AO129" s="408">
        <f t="shared" si="115"/>
        <v>2.7430312844012406</v>
      </c>
      <c r="AP129">
        <f t="shared" si="74"/>
        <v>60</v>
      </c>
      <c r="AQ129" s="10">
        <f t="shared" si="116"/>
        <v>0.95628149886530589</v>
      </c>
      <c r="AR129" s="63">
        <f t="shared" si="117"/>
        <v>29.486967855927343</v>
      </c>
      <c r="AS129" s="63">
        <f t="shared" si="118"/>
        <v>38.627068147238752</v>
      </c>
      <c r="AT129" s="10"/>
      <c r="AU129">
        <f t="shared" si="119"/>
        <v>95.628149886530593</v>
      </c>
    </row>
    <row r="130" spans="7:47" x14ac:dyDescent="0.2">
      <c r="G130">
        <v>121</v>
      </c>
      <c r="H130">
        <f t="shared" si="55"/>
        <v>12.1</v>
      </c>
      <c r="I130" s="407">
        <f t="shared" si="97"/>
        <v>0.40738888888888897</v>
      </c>
      <c r="J130" s="408">
        <f t="shared" si="56"/>
        <v>6.7190875771604945</v>
      </c>
      <c r="K130" s="408">
        <f t="shared" si="77"/>
        <v>15.459543788580246</v>
      </c>
      <c r="L130" s="408">
        <f t="shared" si="98"/>
        <v>8.7404562114197528</v>
      </c>
      <c r="M130" s="63">
        <f t="shared" si="57"/>
        <v>0</v>
      </c>
      <c r="N130" s="407">
        <f t="shared" si="99"/>
        <v>12.254475841740277</v>
      </c>
      <c r="O130" s="407">
        <f t="shared" si="100"/>
        <v>0.79884671102166749</v>
      </c>
      <c r="P130">
        <f t="shared" si="59"/>
        <v>0.2</v>
      </c>
      <c r="Q130" s="407">
        <f t="shared" si="80"/>
        <v>0.99884671102166744</v>
      </c>
      <c r="R130" s="9">
        <f t="shared" si="101"/>
        <v>1.9396335106911411</v>
      </c>
      <c r="S130" s="9">
        <f t="shared" si="102"/>
        <v>3.7621781557960411E-3</v>
      </c>
      <c r="T130" s="9">
        <f t="shared" si="103"/>
        <v>3.7621781557960411E-3</v>
      </c>
      <c r="U130" s="407">
        <f t="shared" si="104"/>
        <v>7.8216671369289319</v>
      </c>
      <c r="V130" s="409">
        <f t="shared" si="105"/>
        <v>0.12235695360182806</v>
      </c>
      <c r="W130" s="407">
        <f t="shared" si="106"/>
        <v>0.12235695360182806</v>
      </c>
      <c r="X130" s="407">
        <f t="shared" si="107"/>
        <v>7.8216671369289319</v>
      </c>
      <c r="Y130" s="407">
        <f t="shared" si="108"/>
        <v>0.36707086080548423</v>
      </c>
      <c r="Z130" s="407">
        <f t="shared" si="62"/>
        <v>0.12252555183424994</v>
      </c>
      <c r="AA130" s="407">
        <f t="shared" si="63"/>
        <v>6.4512E-2</v>
      </c>
      <c r="AB130" s="407">
        <f t="shared" si="64"/>
        <v>0</v>
      </c>
      <c r="AC130" s="407">
        <f t="shared" si="109"/>
        <v>0.59801088684044912</v>
      </c>
      <c r="AD130" s="407">
        <f t="shared" si="110"/>
        <v>9.433647298626445</v>
      </c>
      <c r="AE130" s="407">
        <f t="shared" si="111"/>
        <v>0.53396220812929218</v>
      </c>
      <c r="AF130" s="407">
        <f t="shared" si="67"/>
        <v>0.16727039999999999</v>
      </c>
      <c r="AG130" s="407">
        <f t="shared" si="112"/>
        <v>0.78507240736487804</v>
      </c>
      <c r="AH130" s="407">
        <f t="shared" si="113"/>
        <v>0</v>
      </c>
      <c r="AI130">
        <f t="shared" si="70"/>
        <v>0</v>
      </c>
      <c r="AJ130" s="408">
        <f t="shared" si="71"/>
        <v>0.20204190720000001</v>
      </c>
      <c r="AK130">
        <f t="shared" si="85"/>
        <v>2.52E-2</v>
      </c>
      <c r="AL130" s="408">
        <f t="shared" si="72"/>
        <v>4.4160000000000005E-2</v>
      </c>
      <c r="AM130" s="408">
        <f t="shared" si="86"/>
        <v>4.9347355729984298E-2</v>
      </c>
      <c r="AN130" s="408">
        <f t="shared" si="114"/>
        <v>6.9360000000000005E-2</v>
      </c>
      <c r="AO130" s="408">
        <f t="shared" si="115"/>
        <v>2.779451044184619</v>
      </c>
      <c r="AP130">
        <f t="shared" si="74"/>
        <v>60.5</v>
      </c>
      <c r="AQ130" s="10">
        <f t="shared" si="116"/>
        <v>0.95607656200677404</v>
      </c>
      <c r="AR130" s="63">
        <f t="shared" si="117"/>
        <v>29.900544342022457</v>
      </c>
      <c r="AS130" s="63">
        <f t="shared" si="118"/>
        <v>39.253620368243901</v>
      </c>
      <c r="AT130" s="10"/>
      <c r="AU130">
        <f t="shared" si="119"/>
        <v>95.607656200677411</v>
      </c>
    </row>
    <row r="131" spans="7:47" x14ac:dyDescent="0.2">
      <c r="G131">
        <v>122</v>
      </c>
      <c r="H131">
        <f t="shared" si="55"/>
        <v>12.2</v>
      </c>
      <c r="I131" s="407">
        <f t="shared" si="97"/>
        <v>0.40747619047619049</v>
      </c>
      <c r="J131" s="408">
        <f t="shared" si="56"/>
        <v>6.720527447089947</v>
      </c>
      <c r="K131" s="408">
        <f t="shared" si="77"/>
        <v>15.560263723544972</v>
      </c>
      <c r="L131" s="408">
        <f t="shared" si="98"/>
        <v>8.8397362764550262</v>
      </c>
      <c r="M131" s="63">
        <f t="shared" si="57"/>
        <v>0</v>
      </c>
      <c r="N131" s="407">
        <f t="shared" si="99"/>
        <v>12.353290685640166</v>
      </c>
      <c r="O131" s="407">
        <f t="shared" si="100"/>
        <v>0.81262267402648358</v>
      </c>
      <c r="P131">
        <f t="shared" si="59"/>
        <v>0.2</v>
      </c>
      <c r="Q131" s="407">
        <f t="shared" si="80"/>
        <v>1.0126226740264836</v>
      </c>
      <c r="R131" s="9">
        <f t="shared" si="101"/>
        <v>1.9400491653368248</v>
      </c>
      <c r="S131" s="9">
        <f t="shared" si="102"/>
        <v>3.763790763924111E-3</v>
      </c>
      <c r="T131" s="9">
        <f t="shared" si="103"/>
        <v>3.763790763924111E-3</v>
      </c>
      <c r="U131" s="407">
        <f t="shared" si="104"/>
        <v>7.8855824967284089</v>
      </c>
      <c r="V131" s="409">
        <f t="shared" si="105"/>
        <v>0.1243648226254189</v>
      </c>
      <c r="W131" s="407">
        <f t="shared" si="106"/>
        <v>0.1243648226254189</v>
      </c>
      <c r="X131" s="407">
        <f t="shared" si="107"/>
        <v>7.8855824967284089</v>
      </c>
      <c r="Y131" s="407">
        <f t="shared" si="108"/>
        <v>0.37309446787625672</v>
      </c>
      <c r="Z131" s="407">
        <f t="shared" si="62"/>
        <v>0.1235132451877092</v>
      </c>
      <c r="AA131" s="407">
        <f t="shared" si="63"/>
        <v>6.4512E-2</v>
      </c>
      <c r="AB131" s="407">
        <f t="shared" si="64"/>
        <v>0</v>
      </c>
      <c r="AC131" s="407">
        <f t="shared" si="109"/>
        <v>0.60636607897893768</v>
      </c>
      <c r="AD131" s="407">
        <f t="shared" si="110"/>
        <v>9.5090156930785756</v>
      </c>
      <c r="AE131" s="407">
        <f t="shared" si="111"/>
        <v>0.54252827670728776</v>
      </c>
      <c r="AF131" s="407">
        <f t="shared" si="67"/>
        <v>0.16865279999999999</v>
      </c>
      <c r="AG131" s="407">
        <f t="shared" si="112"/>
        <v>0.79774042423082581</v>
      </c>
      <c r="AH131" s="407">
        <f t="shared" si="113"/>
        <v>0</v>
      </c>
      <c r="AI131">
        <f t="shared" si="70"/>
        <v>0</v>
      </c>
      <c r="AJ131" s="408">
        <f t="shared" si="71"/>
        <v>0.20203223039999998</v>
      </c>
      <c r="AK131">
        <f t="shared" si="85"/>
        <v>2.52E-2</v>
      </c>
      <c r="AL131" s="408">
        <f t="shared" si="72"/>
        <v>4.4160000000000005E-2</v>
      </c>
      <c r="AM131" s="408">
        <f t="shared" si="86"/>
        <v>4.9347355729984298E-2</v>
      </c>
      <c r="AN131" s="408">
        <f t="shared" si="114"/>
        <v>6.9360000000000005E-2</v>
      </c>
      <c r="AO131" s="408">
        <f t="shared" si="115"/>
        <v>2.8162500210255899</v>
      </c>
      <c r="AP131">
        <f t="shared" si="74"/>
        <v>61</v>
      </c>
      <c r="AQ131" s="10">
        <f t="shared" si="116"/>
        <v>0.9558693903183324</v>
      </c>
      <c r="AR131" s="63">
        <f t="shared" si="117"/>
        <v>30.318303948946884</v>
      </c>
      <c r="AS131" s="63">
        <f t="shared" si="118"/>
        <v>39.887021211541288</v>
      </c>
      <c r="AT131" s="10"/>
      <c r="AU131">
        <f t="shared" si="119"/>
        <v>95.586939031833239</v>
      </c>
    </row>
    <row r="132" spans="7:47" x14ac:dyDescent="0.2">
      <c r="G132">
        <v>123</v>
      </c>
      <c r="H132">
        <f t="shared" si="55"/>
        <v>12.3</v>
      </c>
      <c r="I132" s="407">
        <f t="shared" si="97"/>
        <v>0.40756349206349207</v>
      </c>
      <c r="J132" s="408">
        <f t="shared" si="56"/>
        <v>6.7219673170193994</v>
      </c>
      <c r="K132" s="408">
        <f t="shared" si="77"/>
        <v>15.6609836585097</v>
      </c>
      <c r="L132" s="408">
        <f t="shared" si="98"/>
        <v>8.9390163414903014</v>
      </c>
      <c r="M132" s="63">
        <f t="shared" si="57"/>
        <v>0</v>
      </c>
      <c r="N132" s="407">
        <f t="shared" si="99"/>
        <v>12.452124466033487</v>
      </c>
      <c r="O132" s="407">
        <f t="shared" si="100"/>
        <v>0.82654086989629161</v>
      </c>
      <c r="P132">
        <f t="shared" si="59"/>
        <v>0.2</v>
      </c>
      <c r="Q132" s="407">
        <f t="shared" si="80"/>
        <v>1.0265408698962917</v>
      </c>
      <c r="R132" s="9">
        <f t="shared" si="101"/>
        <v>1.9404648199825085</v>
      </c>
      <c r="S132" s="9">
        <f t="shared" si="102"/>
        <v>3.765403717589749E-3</v>
      </c>
      <c r="T132" s="9">
        <f t="shared" si="103"/>
        <v>3.765403717589749E-3</v>
      </c>
      <c r="U132" s="407">
        <f t="shared" si="104"/>
        <v>7.9495233695143916</v>
      </c>
      <c r="V132" s="409">
        <f t="shared" si="105"/>
        <v>0.1263898436049109</v>
      </c>
      <c r="W132" s="407">
        <f t="shared" si="106"/>
        <v>0.1263898436049109</v>
      </c>
      <c r="X132" s="407">
        <f t="shared" si="107"/>
        <v>7.9495233695143916</v>
      </c>
      <c r="Y132" s="407">
        <f t="shared" si="108"/>
        <v>0.3791695308147327</v>
      </c>
      <c r="Z132" s="407">
        <f t="shared" si="62"/>
        <v>0.12450093854116846</v>
      </c>
      <c r="AA132" s="407">
        <f t="shared" si="63"/>
        <v>6.4512E-2</v>
      </c>
      <c r="AB132" s="407">
        <f t="shared" si="64"/>
        <v>0</v>
      </c>
      <c r="AC132" s="407">
        <f t="shared" si="109"/>
        <v>0.61480557785544732</v>
      </c>
      <c r="AD132" s="407">
        <f t="shared" si="110"/>
        <v>9.5843874042702542</v>
      </c>
      <c r="AE132" s="407">
        <f t="shared" si="111"/>
        <v>0.55116289149080577</v>
      </c>
      <c r="AF132" s="407">
        <f t="shared" si="67"/>
        <v>0.1700352</v>
      </c>
      <c r="AG132" s="407">
        <f t="shared" si="112"/>
        <v>0.81054674952178607</v>
      </c>
      <c r="AH132" s="407">
        <f t="shared" si="113"/>
        <v>0</v>
      </c>
      <c r="AI132">
        <f t="shared" si="70"/>
        <v>0</v>
      </c>
      <c r="AJ132" s="408">
        <f t="shared" si="71"/>
        <v>0.20202255359999999</v>
      </c>
      <c r="AK132">
        <f t="shared" si="85"/>
        <v>2.52E-2</v>
      </c>
      <c r="AL132" s="408">
        <f t="shared" si="72"/>
        <v>4.4160000000000005E-2</v>
      </c>
      <c r="AM132" s="408">
        <f t="shared" si="86"/>
        <v>4.9347355729984298E-2</v>
      </c>
      <c r="AN132" s="408">
        <f t="shared" si="114"/>
        <v>6.9360000000000005E-2</v>
      </c>
      <c r="AO132" s="408">
        <f t="shared" si="115"/>
        <v>2.8534309981960257</v>
      </c>
      <c r="AP132">
        <f t="shared" si="74"/>
        <v>61.5</v>
      </c>
      <c r="AQ132" s="10">
        <f t="shared" si="116"/>
        <v>0.95566000205527468</v>
      </c>
      <c r="AR132" s="63">
        <f t="shared" si="117"/>
        <v>30.740278892772366</v>
      </c>
      <c r="AS132" s="63">
        <f t="shared" si="118"/>
        <v>40.527337476089301</v>
      </c>
      <c r="AT132" s="10"/>
      <c r="AU132">
        <f t="shared" si="119"/>
        <v>95.566000205527473</v>
      </c>
    </row>
    <row r="133" spans="7:47" x14ac:dyDescent="0.2">
      <c r="G133">
        <v>124</v>
      </c>
      <c r="H133">
        <f t="shared" si="55"/>
        <v>12.4</v>
      </c>
      <c r="I133" s="407">
        <f t="shared" si="97"/>
        <v>0.40765079365079365</v>
      </c>
      <c r="J133" s="408">
        <f t="shared" si="56"/>
        <v>6.7234071869488519</v>
      </c>
      <c r="K133" s="408">
        <f t="shared" si="77"/>
        <v>15.761703593474426</v>
      </c>
      <c r="L133" s="408">
        <f t="shared" si="98"/>
        <v>9.0382964065255749</v>
      </c>
      <c r="M133" s="63">
        <f t="shared" si="57"/>
        <v>0</v>
      </c>
      <c r="N133" s="407">
        <f t="shared" si="99"/>
        <v>12.550976735568948</v>
      </c>
      <c r="O133" s="407">
        <f t="shared" si="100"/>
        <v>0.84060210171654659</v>
      </c>
      <c r="P133">
        <f t="shared" si="59"/>
        <v>0.2</v>
      </c>
      <c r="Q133" s="407">
        <f t="shared" si="80"/>
        <v>1.0406021017165465</v>
      </c>
      <c r="R133" s="9">
        <f t="shared" si="101"/>
        <v>1.9408804746281922</v>
      </c>
      <c r="S133" s="9">
        <f t="shared" si="102"/>
        <v>3.7670170167929569E-3</v>
      </c>
      <c r="T133" s="9">
        <f t="shared" si="103"/>
        <v>3.7670170167929569E-3</v>
      </c>
      <c r="U133" s="407">
        <f t="shared" si="104"/>
        <v>8.0134894714061833</v>
      </c>
      <c r="V133" s="409">
        <f t="shared" si="105"/>
        <v>0.1284320270166755</v>
      </c>
      <c r="W133" s="407">
        <f t="shared" si="106"/>
        <v>0.1284320270166755</v>
      </c>
      <c r="X133" s="407">
        <f t="shared" si="107"/>
        <v>8.0134894714061833</v>
      </c>
      <c r="Y133" s="407">
        <f t="shared" si="108"/>
        <v>0.38529608105002655</v>
      </c>
      <c r="Z133" s="407">
        <f t="shared" si="62"/>
        <v>0.12548863189462775</v>
      </c>
      <c r="AA133" s="407">
        <f t="shared" si="63"/>
        <v>6.4512E-2</v>
      </c>
      <c r="AB133" s="407">
        <f t="shared" si="64"/>
        <v>0</v>
      </c>
      <c r="AC133" s="407">
        <f t="shared" si="109"/>
        <v>0.62333003703903589</v>
      </c>
      <c r="AD133" s="407">
        <f t="shared" si="110"/>
        <v>9.659762083429138</v>
      </c>
      <c r="AE133" s="407">
        <f t="shared" si="111"/>
        <v>0.55986602105073147</v>
      </c>
      <c r="AF133" s="407">
        <f t="shared" si="67"/>
        <v>0.1714176</v>
      </c>
      <c r="AG133" s="407">
        <f t="shared" si="112"/>
        <v>0.82349274201832234</v>
      </c>
      <c r="AH133" s="407">
        <f t="shared" si="113"/>
        <v>0</v>
      </c>
      <c r="AI133">
        <f t="shared" si="70"/>
        <v>0</v>
      </c>
      <c r="AJ133" s="408">
        <f t="shared" si="71"/>
        <v>0.20201287679999999</v>
      </c>
      <c r="AK133">
        <f t="shared" si="85"/>
        <v>2.52E-2</v>
      </c>
      <c r="AL133" s="408">
        <f t="shared" si="72"/>
        <v>4.4160000000000005E-2</v>
      </c>
      <c r="AM133" s="408">
        <f t="shared" si="86"/>
        <v>4.9347355729984298E-2</v>
      </c>
      <c r="AN133" s="408">
        <f t="shared" si="114"/>
        <v>6.9360000000000005E-2</v>
      </c>
      <c r="AO133" s="408">
        <f t="shared" si="115"/>
        <v>2.8909968016073733</v>
      </c>
      <c r="AP133">
        <f t="shared" si="74"/>
        <v>62</v>
      </c>
      <c r="AQ133" s="10">
        <f t="shared" si="116"/>
        <v>0.9554484143548283</v>
      </c>
      <c r="AR133" s="63">
        <f t="shared" si="117"/>
        <v>31.166501851951793</v>
      </c>
      <c r="AS133" s="63">
        <f t="shared" si="118"/>
        <v>41.174637100916115</v>
      </c>
      <c r="AT133" s="10"/>
      <c r="AU133">
        <f t="shared" si="119"/>
        <v>95.544841435482823</v>
      </c>
    </row>
    <row r="134" spans="7:47" x14ac:dyDescent="0.2">
      <c r="G134">
        <v>125</v>
      </c>
      <c r="H134">
        <f t="shared" si="55"/>
        <v>12.5</v>
      </c>
      <c r="I134" s="407">
        <f t="shared" si="97"/>
        <v>0.40773809523809529</v>
      </c>
      <c r="J134" s="408">
        <f t="shared" si="56"/>
        <v>6.7248470568783061</v>
      </c>
      <c r="K134" s="408">
        <f t="shared" si="77"/>
        <v>15.862423528439153</v>
      </c>
      <c r="L134" s="408">
        <f t="shared" si="98"/>
        <v>9.1375764715608465</v>
      </c>
      <c r="M134" s="63">
        <f t="shared" si="57"/>
        <v>0</v>
      </c>
      <c r="N134" s="407">
        <f t="shared" si="99"/>
        <v>12.64984706079618</v>
      </c>
      <c r="O134" s="407">
        <f t="shared" si="100"/>
        <v>0.85480718328738481</v>
      </c>
      <c r="P134">
        <f t="shared" si="59"/>
        <v>0.2</v>
      </c>
      <c r="Q134" s="407">
        <f t="shared" si="80"/>
        <v>1.0548071832873849</v>
      </c>
      <c r="R134" s="9">
        <f t="shared" si="101"/>
        <v>1.9412961292738764</v>
      </c>
      <c r="S134" s="9">
        <f t="shared" si="102"/>
        <v>3.7686306615337347E-3</v>
      </c>
      <c r="T134" s="9">
        <f t="shared" si="103"/>
        <v>3.7686306615337347E-3</v>
      </c>
      <c r="U134" s="407">
        <f t="shared" si="104"/>
        <v>8.0774805272771797</v>
      </c>
      <c r="V134" s="409">
        <f t="shared" si="105"/>
        <v>0.13049138333708404</v>
      </c>
      <c r="W134" s="407">
        <f t="shared" si="106"/>
        <v>0.13049138333708404</v>
      </c>
      <c r="X134" s="407">
        <f t="shared" si="107"/>
        <v>8.0774805272771797</v>
      </c>
      <c r="Y134" s="407">
        <f t="shared" si="108"/>
        <v>0.39147415001125213</v>
      </c>
      <c r="Z134" s="407">
        <f t="shared" si="62"/>
        <v>0.126476325248087</v>
      </c>
      <c r="AA134" s="407">
        <f t="shared" si="63"/>
        <v>6.4512E-2</v>
      </c>
      <c r="AB134" s="407">
        <f t="shared" si="64"/>
        <v>0</v>
      </c>
      <c r="AC134" s="407">
        <f t="shared" si="109"/>
        <v>0.63194011948610562</v>
      </c>
      <c r="AD134" s="407">
        <f t="shared" si="110"/>
        <v>9.7351393925814804</v>
      </c>
      <c r="AE134" s="407">
        <f t="shared" si="111"/>
        <v>0.56863763395795031</v>
      </c>
      <c r="AF134" s="407">
        <f t="shared" si="67"/>
        <v>0.17279999999999998</v>
      </c>
      <c r="AG134" s="407">
        <f t="shared" si="112"/>
        <v>0.83657978372481701</v>
      </c>
      <c r="AH134" s="407">
        <f t="shared" si="113"/>
        <v>0</v>
      </c>
      <c r="AI134">
        <f t="shared" si="70"/>
        <v>0</v>
      </c>
      <c r="AJ134" s="408">
        <f t="shared" si="71"/>
        <v>0.20200319999999999</v>
      </c>
      <c r="AK134">
        <f t="shared" si="85"/>
        <v>2.52E-2</v>
      </c>
      <c r="AL134" s="408">
        <f t="shared" si="72"/>
        <v>4.4160000000000005E-2</v>
      </c>
      <c r="AM134" s="408">
        <f t="shared" si="86"/>
        <v>4.9347355729984298E-2</v>
      </c>
      <c r="AN134" s="408">
        <f t="shared" si="114"/>
        <v>6.9360000000000005E-2</v>
      </c>
      <c r="AO134" s="408">
        <f t="shared" si="115"/>
        <v>2.9289503004969251</v>
      </c>
      <c r="AP134">
        <f t="shared" si="74"/>
        <v>62.5</v>
      </c>
      <c r="AQ134" s="10">
        <f t="shared" si="116"/>
        <v>0.95523464327266339</v>
      </c>
      <c r="AR134" s="63">
        <f t="shared" si="117"/>
        <v>31.597005974305283</v>
      </c>
      <c r="AS134" s="63">
        <f t="shared" si="118"/>
        <v>41.828989186240847</v>
      </c>
      <c r="AT134" s="10"/>
      <c r="AU134">
        <f t="shared" si="119"/>
        <v>95.523464327266339</v>
      </c>
    </row>
    <row r="135" spans="7:47" x14ac:dyDescent="0.2">
      <c r="G135">
        <v>126</v>
      </c>
      <c r="H135">
        <f t="shared" si="55"/>
        <v>12.6</v>
      </c>
      <c r="I135" s="407">
        <f t="shared" si="97"/>
        <v>0.40782539682539681</v>
      </c>
      <c r="J135" s="408">
        <f t="shared" si="56"/>
        <v>6.7262869268077585</v>
      </c>
      <c r="K135" s="408">
        <f t="shared" si="77"/>
        <v>15.963143463403879</v>
      </c>
      <c r="L135" s="408">
        <f t="shared" si="98"/>
        <v>9.2368565365961199</v>
      </c>
      <c r="M135" s="63">
        <f t="shared" si="57"/>
        <v>0</v>
      </c>
      <c r="N135" s="407">
        <f t="shared" si="99"/>
        <v>12.748735021633012</v>
      </c>
      <c r="O135" s="407">
        <f t="shared" si="100"/>
        <v>0.86915693924990312</v>
      </c>
      <c r="P135">
        <f t="shared" si="59"/>
        <v>0.2</v>
      </c>
      <c r="Q135" s="407">
        <f t="shared" si="80"/>
        <v>1.0691569392499032</v>
      </c>
      <c r="R135" s="9">
        <f t="shared" si="101"/>
        <v>1.9417117839195601</v>
      </c>
      <c r="S135" s="9">
        <f t="shared" si="102"/>
        <v>3.7702446518120807E-3</v>
      </c>
      <c r="T135" s="9">
        <f t="shared" si="103"/>
        <v>3.7702446518120807E-3</v>
      </c>
      <c r="U135" s="407">
        <f t="shared" si="104"/>
        <v>8.1414962704194664</v>
      </c>
      <c r="V135" s="409">
        <f t="shared" si="105"/>
        <v>0.13256792304250817</v>
      </c>
      <c r="W135" s="407">
        <f t="shared" si="106"/>
        <v>0.13256792304250817</v>
      </c>
      <c r="X135" s="407">
        <f t="shared" si="107"/>
        <v>8.1414962704194664</v>
      </c>
      <c r="Y135" s="407">
        <f t="shared" si="108"/>
        <v>0.39770376912752453</v>
      </c>
      <c r="Z135" s="407">
        <f t="shared" si="62"/>
        <v>0.12746401860154627</v>
      </c>
      <c r="AA135" s="407">
        <f t="shared" si="63"/>
        <v>6.4512E-2</v>
      </c>
      <c r="AB135" s="407">
        <f t="shared" si="64"/>
        <v>0</v>
      </c>
      <c r="AC135" s="407">
        <f t="shared" si="109"/>
        <v>0.64063649768289999</v>
      </c>
      <c r="AD135" s="407">
        <f t="shared" si="110"/>
        <v>9.8105190041382606</v>
      </c>
      <c r="AE135" s="407">
        <f t="shared" si="111"/>
        <v>0.57747769878334787</v>
      </c>
      <c r="AF135" s="407">
        <f t="shared" si="67"/>
        <v>0.17418239999999999</v>
      </c>
      <c r="AG135" s="407">
        <f t="shared" si="112"/>
        <v>0.84980928030206138</v>
      </c>
      <c r="AH135" s="407">
        <f t="shared" si="113"/>
        <v>0</v>
      </c>
      <c r="AI135">
        <f t="shared" si="70"/>
        <v>0</v>
      </c>
      <c r="AJ135" s="408">
        <f t="shared" si="71"/>
        <v>0.2019935232</v>
      </c>
      <c r="AK135">
        <f t="shared" si="85"/>
        <v>2.52E-2</v>
      </c>
      <c r="AL135" s="408">
        <f t="shared" si="72"/>
        <v>4.4160000000000005E-2</v>
      </c>
      <c r="AM135" s="408">
        <f t="shared" si="86"/>
        <v>4.9347355729984298E-2</v>
      </c>
      <c r="AN135" s="408">
        <f t="shared" si="114"/>
        <v>6.9360000000000005E-2</v>
      </c>
      <c r="AO135" s="408">
        <f t="shared" si="115"/>
        <v>2.967294408129185</v>
      </c>
      <c r="AP135">
        <f t="shared" si="74"/>
        <v>63</v>
      </c>
      <c r="AQ135" s="10">
        <f t="shared" si="116"/>
        <v>0.95501870381751586</v>
      </c>
      <c r="AR135" s="63">
        <f t="shared" si="117"/>
        <v>32.031824884144996</v>
      </c>
      <c r="AS135" s="63">
        <f t="shared" si="118"/>
        <v>42.490464015103072</v>
      </c>
      <c r="AT135" s="10"/>
      <c r="AU135">
        <f t="shared" si="119"/>
        <v>95.501870381751587</v>
      </c>
    </row>
    <row r="136" spans="7:47" x14ac:dyDescent="0.2">
      <c r="G136">
        <v>127</v>
      </c>
      <c r="H136">
        <f t="shared" si="55"/>
        <v>12.7</v>
      </c>
      <c r="I136" s="407">
        <f t="shared" si="97"/>
        <v>0.40791269841269845</v>
      </c>
      <c r="J136" s="408">
        <f t="shared" si="56"/>
        <v>6.7277267967372127</v>
      </c>
      <c r="K136" s="408">
        <f t="shared" si="77"/>
        <v>16.063863398368607</v>
      </c>
      <c r="L136" s="408">
        <f t="shared" si="98"/>
        <v>9.3361366016313934</v>
      </c>
      <c r="M136" s="63">
        <f t="shared" si="57"/>
        <v>0</v>
      </c>
      <c r="N136" s="407">
        <f t="shared" si="99"/>
        <v>12.847640210856934</v>
      </c>
      <c r="O136" s="407">
        <f t="shared" si="100"/>
        <v>0.88365220521463794</v>
      </c>
      <c r="P136">
        <f t="shared" si="59"/>
        <v>0.2</v>
      </c>
      <c r="Q136" s="407">
        <f t="shared" si="80"/>
        <v>1.083652205214638</v>
      </c>
      <c r="R136" s="9">
        <f t="shared" si="101"/>
        <v>1.9421274385652443</v>
      </c>
      <c r="S136" s="9">
        <f t="shared" si="102"/>
        <v>3.7718589876279966E-3</v>
      </c>
      <c r="T136" s="9">
        <f t="shared" si="103"/>
        <v>3.7718589876279966E-3</v>
      </c>
      <c r="U136" s="407">
        <f t="shared" si="104"/>
        <v>8.2055364422236075</v>
      </c>
      <c r="V136" s="409">
        <f t="shared" si="105"/>
        <v>0.13466165660931934</v>
      </c>
      <c r="W136" s="407">
        <f t="shared" si="106"/>
        <v>0.13466165660931934</v>
      </c>
      <c r="X136" s="407">
        <f t="shared" si="107"/>
        <v>8.2055364422236075</v>
      </c>
      <c r="Y136" s="407">
        <f t="shared" si="108"/>
        <v>0.40398496982795795</v>
      </c>
      <c r="Z136" s="407">
        <f t="shared" si="62"/>
        <v>0.12845171195500554</v>
      </c>
      <c r="AA136" s="407">
        <f t="shared" si="63"/>
        <v>6.4512E-2</v>
      </c>
      <c r="AB136" s="407">
        <f t="shared" si="64"/>
        <v>0</v>
      </c>
      <c r="AC136" s="407">
        <f t="shared" si="109"/>
        <v>0.64941985379083711</v>
      </c>
      <c r="AD136" s="407">
        <f t="shared" si="110"/>
        <v>9.885900600500106</v>
      </c>
      <c r="AE136" s="407">
        <f t="shared" si="111"/>
        <v>0.58638618409781018</v>
      </c>
      <c r="AF136" s="407">
        <f t="shared" si="67"/>
        <v>0.17556479999999999</v>
      </c>
      <c r="AG136" s="407">
        <f t="shared" si="112"/>
        <v>0.86318266151029255</v>
      </c>
      <c r="AH136" s="407">
        <f t="shared" si="113"/>
        <v>0</v>
      </c>
      <c r="AI136">
        <f t="shared" si="70"/>
        <v>0</v>
      </c>
      <c r="AJ136" s="408">
        <f t="shared" si="71"/>
        <v>0.2019838464</v>
      </c>
      <c r="AK136">
        <f t="shared" si="85"/>
        <v>2.52E-2</v>
      </c>
      <c r="AL136" s="408">
        <f t="shared" si="72"/>
        <v>4.4160000000000005E-2</v>
      </c>
      <c r="AM136" s="408">
        <f t="shared" si="86"/>
        <v>4.9347355729984298E-2</v>
      </c>
      <c r="AN136" s="408">
        <f t="shared" si="114"/>
        <v>6.9360000000000005E-2</v>
      </c>
      <c r="AO136" s="408">
        <f t="shared" si="115"/>
        <v>3.0060320825127151</v>
      </c>
      <c r="AP136">
        <f t="shared" si="74"/>
        <v>63.5</v>
      </c>
      <c r="AQ136" s="10">
        <f t="shared" si="116"/>
        <v>0.95480060998402083</v>
      </c>
      <c r="AR136" s="63">
        <f t="shared" si="117"/>
        <v>32.470992689541859</v>
      </c>
      <c r="AS136" s="63">
        <f t="shared" si="118"/>
        <v>43.159133075514625</v>
      </c>
      <c r="AT136" s="10"/>
      <c r="AU136">
        <f t="shared" si="119"/>
        <v>95.480060998402081</v>
      </c>
    </row>
    <row r="137" spans="7:47" x14ac:dyDescent="0.2">
      <c r="G137">
        <v>128</v>
      </c>
      <c r="H137">
        <f t="shared" ref="H137:H200" si="120">Iout*(G137/200)</f>
        <v>12.8</v>
      </c>
      <c r="I137" s="407">
        <f t="shared" si="97"/>
        <v>0.40800000000000003</v>
      </c>
      <c r="J137" s="408">
        <f t="shared" ref="J137:J200" si="121">(Vin-Vout)*I137/(Fsw*Lout2)</f>
        <v>6.7291666666666661</v>
      </c>
      <c r="K137" s="408">
        <f t="shared" si="77"/>
        <v>16.164583333333333</v>
      </c>
      <c r="L137" s="408">
        <f t="shared" si="98"/>
        <v>9.4354166666666686</v>
      </c>
      <c r="M137" s="63">
        <f t="shared" ref="M137:M200" si="122">IF(MIN(Vin, -L137/(CossTop+CossBot)*0.00000002)&lt;0, 0, MIN(Vin, -L137/(CossTop+CossBot)*0.00000002))</f>
        <v>0</v>
      </c>
      <c r="N137" s="407">
        <f t="shared" si="99"/>
        <v>12.946562233619453</v>
      </c>
      <c r="O137" s="407">
        <f t="shared" si="100"/>
        <v>0.89829382789228029</v>
      </c>
      <c r="P137">
        <f t="shared" ref="P137:P200" si="123">Core_Loss</f>
        <v>0.2</v>
      </c>
      <c r="Q137" s="407">
        <f t="shared" si="80"/>
        <v>1.0982938278922802</v>
      </c>
      <c r="R137" s="9">
        <f t="shared" si="101"/>
        <v>1.9425430932109282</v>
      </c>
      <c r="S137" s="9">
        <f t="shared" si="102"/>
        <v>3.7734736689814812E-3</v>
      </c>
      <c r="T137" s="9">
        <f t="shared" si="103"/>
        <v>3.7734736689814812E-3</v>
      </c>
      <c r="U137" s="407">
        <f t="shared" si="104"/>
        <v>8.2696007918728736</v>
      </c>
      <c r="V137" s="409">
        <f t="shared" si="105"/>
        <v>0.13677259451388893</v>
      </c>
      <c r="W137" s="407">
        <f t="shared" si="106"/>
        <v>0.13677259451388893</v>
      </c>
      <c r="X137" s="407">
        <f t="shared" si="107"/>
        <v>8.2696007918728736</v>
      </c>
      <c r="Y137" s="407">
        <f t="shared" si="108"/>
        <v>0.41031778354166676</v>
      </c>
      <c r="Z137" s="407">
        <f t="shared" ref="Z137:Z200" si="124">IF(L137&lt;0, (Vin*K137*Tf/2)*Fsw, (Vin*L137*Tr/2+Vin*K137*Tf/2)*Fsw)</f>
        <v>0.12943940530846482</v>
      </c>
      <c r="AA137" s="407">
        <f t="shared" ref="AA137:AA200" si="125">(0.5*CossTop*(Vin-M137)^2-0.5*CossBot*(Vin-M137)^2+(QossBot*(Vin-M137)/Vin)*Vin)*Fsw</f>
        <v>6.4512E-2</v>
      </c>
      <c r="AB137" s="407">
        <f t="shared" ref="AB137:AB200" si="126">IF(L137&gt;0,0,-L137*VsdTop*Deadtime*Fsw)</f>
        <v>0</v>
      </c>
      <c r="AC137" s="407">
        <f t="shared" si="109"/>
        <v>0.65829087979474643</v>
      </c>
      <c r="AD137" s="407">
        <f t="shared" si="110"/>
        <v>9.9612838736799922</v>
      </c>
      <c r="AE137" s="407">
        <f t="shared" si="111"/>
        <v>0.59536305847222237</v>
      </c>
      <c r="AF137" s="407">
        <f t="shared" ref="AF137:AF200" si="127">IF(L137&lt;0, Deadtime*Fsw*IF(VfdSky&gt;0,0,VsdBot)*K137, Deadtime*Fsw*IF(VfdSky&gt;0,0,VsdBot)*(K137+L137))</f>
        <v>0.1769472</v>
      </c>
      <c r="AG137" s="407">
        <f t="shared" si="112"/>
        <v>0.87670138166295886</v>
      </c>
      <c r="AH137" s="407">
        <f t="shared" si="113"/>
        <v>0</v>
      </c>
      <c r="AI137">
        <f t="shared" ref="AI137:AI200" si="128">2*Deadtime*Fsw*IF(VfdSky&gt;0,VfdSky,0)*H137</f>
        <v>0</v>
      </c>
      <c r="AJ137" s="408">
        <f t="shared" ref="AJ137:AJ200" si="129">IF(QrrSky&gt;0,QrrSky,QrrBot)*Fsw*(Vin-H137*RdsonTop)</f>
        <v>0.20197416959999998</v>
      </c>
      <c r="AK137">
        <f t="shared" si="85"/>
        <v>2.52E-2</v>
      </c>
      <c r="AL137" s="408">
        <f t="shared" ref="AL137:AL200" si="130">IF(Ext_VCC=1, Vdd*(QgTop+QgBot)*Fsw, Vin*(QgTop+QgBot)*Fsw)</f>
        <v>4.4160000000000005E-2</v>
      </c>
      <c r="AM137" s="408">
        <f t="shared" si="86"/>
        <v>4.9347355729984298E-2</v>
      </c>
      <c r="AN137" s="408">
        <f t="shared" si="114"/>
        <v>6.9360000000000005E-2</v>
      </c>
      <c r="AO137" s="408">
        <f t="shared" si="115"/>
        <v>3.045166327132856</v>
      </c>
      <c r="AP137">
        <f t="shared" ref="AP137:AP200" si="131">Vout*H137</f>
        <v>64</v>
      </c>
      <c r="AQ137" s="10">
        <f t="shared" si="116"/>
        <v>0.95458037478384927</v>
      </c>
      <c r="AR137" s="63">
        <f t="shared" si="117"/>
        <v>32.914543989737325</v>
      </c>
      <c r="AS137" s="63">
        <f t="shared" si="118"/>
        <v>43.835069083147943</v>
      </c>
      <c r="AT137" s="10"/>
      <c r="AU137">
        <f t="shared" si="119"/>
        <v>95.458037478384924</v>
      </c>
    </row>
    <row r="138" spans="7:47" x14ac:dyDescent="0.2">
      <c r="G138">
        <v>129</v>
      </c>
      <c r="H138">
        <f t="shared" si="120"/>
        <v>12.9</v>
      </c>
      <c r="I138" s="407">
        <f t="shared" si="97"/>
        <v>0.40808730158730155</v>
      </c>
      <c r="J138" s="408">
        <f t="shared" si="121"/>
        <v>6.7306065365961185</v>
      </c>
      <c r="K138" s="408">
        <f t="shared" ref="K138:K201" si="132">H138+J138/2</f>
        <v>16.265303268298059</v>
      </c>
      <c r="L138" s="408">
        <f t="shared" si="98"/>
        <v>9.534696731701942</v>
      </c>
      <c r="M138" s="63">
        <f t="shared" si="122"/>
        <v>0</v>
      </c>
      <c r="N138" s="407">
        <f t="shared" si="99"/>
        <v>13.04550070698218</v>
      </c>
      <c r="O138" s="407">
        <f t="shared" si="100"/>
        <v>0.91308266522666848</v>
      </c>
      <c r="P138">
        <f t="shared" si="123"/>
        <v>0.2</v>
      </c>
      <c r="Q138" s="407">
        <f t="shared" ref="Q138:Q201" si="133">O138+P138</f>
        <v>1.1130826652266685</v>
      </c>
      <c r="R138" s="9">
        <f t="shared" si="101"/>
        <v>1.9429587478566119</v>
      </c>
      <c r="S138" s="9">
        <f t="shared" si="102"/>
        <v>3.7750886958725334E-3</v>
      </c>
      <c r="T138" s="9">
        <f t="shared" si="103"/>
        <v>3.7750886958725334E-3</v>
      </c>
      <c r="U138" s="407">
        <f t="shared" si="104"/>
        <v>8.3336890760511455</v>
      </c>
      <c r="V138" s="409">
        <f t="shared" si="105"/>
        <v>0.13890074723258841</v>
      </c>
      <c r="W138" s="407">
        <f t="shared" si="106"/>
        <v>0.13890074723258841</v>
      </c>
      <c r="X138" s="407">
        <f t="shared" si="107"/>
        <v>8.3336890760511455</v>
      </c>
      <c r="Y138" s="407">
        <f t="shared" si="108"/>
        <v>0.41670224169776521</v>
      </c>
      <c r="Z138" s="407">
        <f t="shared" si="124"/>
        <v>0.13042709866192412</v>
      </c>
      <c r="AA138" s="407">
        <f t="shared" si="125"/>
        <v>6.4512E-2</v>
      </c>
      <c r="AB138" s="407">
        <f t="shared" si="126"/>
        <v>0</v>
      </c>
      <c r="AC138" s="407">
        <f t="shared" si="109"/>
        <v>0.66725027765407074</v>
      </c>
      <c r="AD138" s="407">
        <f t="shared" si="110"/>
        <v>10.036668524942844</v>
      </c>
      <c r="AE138" s="407">
        <f t="shared" si="111"/>
        <v>0.60440829047747013</v>
      </c>
      <c r="AF138" s="407">
        <f t="shared" si="127"/>
        <v>0.1783296</v>
      </c>
      <c r="AG138" s="407">
        <f t="shared" si="112"/>
        <v>0.89036692009151008</v>
      </c>
      <c r="AH138" s="407">
        <f t="shared" si="113"/>
        <v>0</v>
      </c>
      <c r="AI138">
        <f t="shared" si="128"/>
        <v>0</v>
      </c>
      <c r="AJ138" s="408">
        <f t="shared" si="129"/>
        <v>0.20196449279999998</v>
      </c>
      <c r="AK138">
        <f t="shared" ref="AK138:AK201" si="134">Iq*Vin</f>
        <v>2.52E-2</v>
      </c>
      <c r="AL138" s="408">
        <f t="shared" si="130"/>
        <v>4.4160000000000005E-2</v>
      </c>
      <c r="AM138" s="408">
        <f t="shared" ref="AM138:AM201" si="135">(Vin-Vdd)*Fsw*(QgTop+QgBot)+(RdsonDRT+RdsonDRT2)*Fsw*QgTop*Vdd/(RdsonDRT+2*RGateTop+RdsonDRT2)+(RdsonDRB+RdsonDRB2)*Fsw*QgBot*Vdd/(RdsonDRB+2*RGateBot+RdsonDRB2)</f>
        <v>4.9347355729984298E-2</v>
      </c>
      <c r="AN138" s="408">
        <f t="shared" si="114"/>
        <v>6.9360000000000005E-2</v>
      </c>
      <c r="AO138" s="408">
        <f t="shared" si="115"/>
        <v>3.0847001917007106</v>
      </c>
      <c r="AP138">
        <f t="shared" si="131"/>
        <v>64.5</v>
      </c>
      <c r="AQ138" s="10">
        <f t="shared" si="116"/>
        <v>0.95435801027523826</v>
      </c>
      <c r="AR138" s="63">
        <f t="shared" si="117"/>
        <v>33.362513882703539</v>
      </c>
      <c r="AS138" s="63">
        <f t="shared" si="118"/>
        <v>44.518346004575506</v>
      </c>
      <c r="AT138" s="10"/>
      <c r="AU138">
        <f t="shared" si="119"/>
        <v>95.435801027523823</v>
      </c>
    </row>
    <row r="139" spans="7:47" x14ac:dyDescent="0.2">
      <c r="G139">
        <v>130</v>
      </c>
      <c r="H139">
        <f t="shared" si="120"/>
        <v>13</v>
      </c>
      <c r="I139" s="407">
        <f t="shared" si="97"/>
        <v>0.40817460317460325</v>
      </c>
      <c r="J139" s="408">
        <f t="shared" si="121"/>
        <v>6.7320464065255736</v>
      </c>
      <c r="K139" s="408">
        <f t="shared" si="132"/>
        <v>16.366023203262788</v>
      </c>
      <c r="L139" s="408">
        <f t="shared" si="98"/>
        <v>9.6339767967372136</v>
      </c>
      <c r="M139" s="63">
        <f t="shared" si="122"/>
        <v>0</v>
      </c>
      <c r="N139" s="407">
        <f t="shared" si="99"/>
        <v>13.144455259473524</v>
      </c>
      <c r="O139" s="407">
        <f t="shared" si="100"/>
        <v>0.92801958653010574</v>
      </c>
      <c r="P139">
        <f t="shared" si="123"/>
        <v>0.2</v>
      </c>
      <c r="Q139" s="407">
        <f t="shared" si="133"/>
        <v>1.1280195865301057</v>
      </c>
      <c r="R139" s="9">
        <f t="shared" si="101"/>
        <v>1.9433744025022965</v>
      </c>
      <c r="S139" s="9">
        <f t="shared" si="102"/>
        <v>3.7767040683011582E-3</v>
      </c>
      <c r="T139" s="9">
        <f t="shared" si="103"/>
        <v>3.7767040683011582E-3</v>
      </c>
      <c r="U139" s="407">
        <f t="shared" si="104"/>
        <v>8.3978010586637915</v>
      </c>
      <c r="V139" s="409">
        <f t="shared" si="105"/>
        <v>0.14104612524178939</v>
      </c>
      <c r="W139" s="407">
        <f t="shared" si="106"/>
        <v>0.14104612524178939</v>
      </c>
      <c r="X139" s="407">
        <f t="shared" si="107"/>
        <v>8.3978010586637915</v>
      </c>
      <c r="Y139" s="407">
        <f t="shared" si="108"/>
        <v>0.42313837572536817</v>
      </c>
      <c r="Z139" s="407">
        <f t="shared" si="124"/>
        <v>0.13141479201538336</v>
      </c>
      <c r="AA139" s="407">
        <f t="shared" si="125"/>
        <v>6.4512E-2</v>
      </c>
      <c r="AB139" s="407">
        <f t="shared" si="126"/>
        <v>0</v>
      </c>
      <c r="AC139" s="407">
        <f t="shared" si="109"/>
        <v>0.67629875945710349</v>
      </c>
      <c r="AD139" s="407">
        <f t="shared" si="110"/>
        <v>10.112054264461129</v>
      </c>
      <c r="AE139" s="407">
        <f t="shared" si="111"/>
        <v>0.61352184868443904</v>
      </c>
      <c r="AF139" s="407">
        <f t="shared" si="127"/>
        <v>0.17971199999999998</v>
      </c>
      <c r="AG139" s="407">
        <f t="shared" si="112"/>
        <v>0.90418078162151339</v>
      </c>
      <c r="AH139" s="407">
        <f t="shared" si="113"/>
        <v>0</v>
      </c>
      <c r="AI139">
        <f t="shared" si="128"/>
        <v>0</v>
      </c>
      <c r="AJ139" s="408">
        <f t="shared" si="129"/>
        <v>0.20195481600000001</v>
      </c>
      <c r="AK139">
        <f t="shared" si="134"/>
        <v>2.52E-2</v>
      </c>
      <c r="AL139" s="408">
        <f t="shared" si="130"/>
        <v>4.4160000000000005E-2</v>
      </c>
      <c r="AM139" s="408">
        <f t="shared" si="135"/>
        <v>4.9347355729984298E-2</v>
      </c>
      <c r="AN139" s="408">
        <f t="shared" si="114"/>
        <v>6.9360000000000005E-2</v>
      </c>
      <c r="AO139" s="408">
        <f t="shared" si="115"/>
        <v>3.1246367729188136</v>
      </c>
      <c r="AP139">
        <f t="shared" si="131"/>
        <v>65</v>
      </c>
      <c r="AQ139" s="10">
        <f t="shared" si="116"/>
        <v>0.95413352759099135</v>
      </c>
      <c r="AR139" s="63">
        <f t="shared" si="117"/>
        <v>33.814937972855176</v>
      </c>
      <c r="AS139" s="63">
        <f t="shared" si="118"/>
        <v>45.209039081075666</v>
      </c>
      <c r="AT139" s="10"/>
      <c r="AU139">
        <f t="shared" si="119"/>
        <v>95.413352759099141</v>
      </c>
    </row>
    <row r="140" spans="7:47" x14ac:dyDescent="0.2">
      <c r="G140">
        <v>131</v>
      </c>
      <c r="H140">
        <f t="shared" si="120"/>
        <v>13.100000000000001</v>
      </c>
      <c r="I140" s="407">
        <f t="shared" si="97"/>
        <v>0.40826190476190477</v>
      </c>
      <c r="J140" s="408">
        <f t="shared" si="121"/>
        <v>6.7334862764550261</v>
      </c>
      <c r="K140" s="408">
        <f t="shared" si="132"/>
        <v>16.466743138227514</v>
      </c>
      <c r="L140" s="408">
        <f t="shared" si="98"/>
        <v>9.7332568617724888</v>
      </c>
      <c r="M140" s="63">
        <f t="shared" si="122"/>
        <v>0</v>
      </c>
      <c r="N140" s="407">
        <f t="shared" si="99"/>
        <v>13.24342553066492</v>
      </c>
      <c r="O140" s="407">
        <f t="shared" si="100"/>
        <v>0.94310547262103173</v>
      </c>
      <c r="P140">
        <f t="shared" si="123"/>
        <v>0.2</v>
      </c>
      <c r="Q140" s="407">
        <f t="shared" si="133"/>
        <v>1.1431054726210317</v>
      </c>
      <c r="R140" s="9">
        <f t="shared" si="101"/>
        <v>1.9437900571479803</v>
      </c>
      <c r="S140" s="9">
        <f t="shared" si="102"/>
        <v>3.7783197862673486E-3</v>
      </c>
      <c r="T140" s="9">
        <f t="shared" si="103"/>
        <v>3.7783197862673486E-3</v>
      </c>
      <c r="U140" s="407">
        <f t="shared" si="104"/>
        <v>8.4619365105708297</v>
      </c>
      <c r="V140" s="409">
        <f t="shared" si="105"/>
        <v>0.14320873901786327</v>
      </c>
      <c r="W140" s="407">
        <f t="shared" si="106"/>
        <v>0.14320873901786327</v>
      </c>
      <c r="X140" s="407">
        <f t="shared" si="107"/>
        <v>8.4619365105708297</v>
      </c>
      <c r="Y140" s="407">
        <f t="shared" si="108"/>
        <v>0.42962621705358978</v>
      </c>
      <c r="Z140" s="407">
        <f t="shared" si="124"/>
        <v>0.13240248536884264</v>
      </c>
      <c r="AA140" s="407">
        <f t="shared" si="125"/>
        <v>6.4512E-2</v>
      </c>
      <c r="AB140" s="407">
        <f t="shared" si="126"/>
        <v>0</v>
      </c>
      <c r="AC140" s="407">
        <f t="shared" si="109"/>
        <v>0.6854370475783238</v>
      </c>
      <c r="AD140" s="407">
        <f t="shared" si="110"/>
        <v>10.187440810985644</v>
      </c>
      <c r="AE140" s="407">
        <f t="shared" si="111"/>
        <v>0.62270370166401501</v>
      </c>
      <c r="AF140" s="407">
        <f t="shared" si="127"/>
        <v>0.18109440000000002</v>
      </c>
      <c r="AG140" s="407">
        <f t="shared" si="112"/>
        <v>0.91814449706040724</v>
      </c>
      <c r="AH140" s="407">
        <f t="shared" si="113"/>
        <v>0</v>
      </c>
      <c r="AI140">
        <f t="shared" si="128"/>
        <v>0</v>
      </c>
      <c r="AJ140" s="408">
        <f t="shared" si="129"/>
        <v>0.20194513919999998</v>
      </c>
      <c r="AK140">
        <f t="shared" si="134"/>
        <v>2.52E-2</v>
      </c>
      <c r="AL140" s="408">
        <f t="shared" si="130"/>
        <v>4.4160000000000005E-2</v>
      </c>
      <c r="AM140" s="408">
        <f t="shared" si="135"/>
        <v>4.9347355729984298E-2</v>
      </c>
      <c r="AN140" s="408">
        <f t="shared" si="114"/>
        <v>6.9360000000000005E-2</v>
      </c>
      <c r="AO140" s="408">
        <f t="shared" si="115"/>
        <v>3.1649792152638936</v>
      </c>
      <c r="AP140">
        <f t="shared" si="131"/>
        <v>65.5</v>
      </c>
      <c r="AQ140" s="10">
        <f t="shared" si="116"/>
        <v>0.95390693696503237</v>
      </c>
      <c r="AR140" s="63">
        <f t="shared" si="117"/>
        <v>34.271852378916194</v>
      </c>
      <c r="AS140" s="63">
        <f t="shared" si="118"/>
        <v>45.907224853020359</v>
      </c>
      <c r="AT140" s="10"/>
      <c r="AU140">
        <f t="shared" si="119"/>
        <v>95.390693696503234</v>
      </c>
    </row>
    <row r="141" spans="7:47" x14ac:dyDescent="0.2">
      <c r="G141">
        <v>132</v>
      </c>
      <c r="H141">
        <f t="shared" si="120"/>
        <v>13.200000000000001</v>
      </c>
      <c r="I141" s="407">
        <f t="shared" si="97"/>
        <v>0.40834920634920635</v>
      </c>
      <c r="J141" s="408">
        <f t="shared" si="121"/>
        <v>6.7349261463844785</v>
      </c>
      <c r="K141" s="408">
        <f t="shared" si="132"/>
        <v>16.56746307319224</v>
      </c>
      <c r="L141" s="408">
        <f t="shared" si="98"/>
        <v>9.8325369268077623</v>
      </c>
      <c r="M141" s="63">
        <f t="shared" si="122"/>
        <v>0</v>
      </c>
      <c r="N141" s="407">
        <f t="shared" si="99"/>
        <v>13.342411170765617</v>
      </c>
      <c r="O141" s="407">
        <f t="shared" si="100"/>
        <v>0.95834121596410415</v>
      </c>
      <c r="P141">
        <f t="shared" si="123"/>
        <v>0.2</v>
      </c>
      <c r="Q141" s="407">
        <f t="shared" si="133"/>
        <v>1.1583412159641042</v>
      </c>
      <c r="R141" s="9">
        <f t="shared" si="101"/>
        <v>1.944205711793664</v>
      </c>
      <c r="S141" s="9">
        <f t="shared" si="102"/>
        <v>3.779935849771108E-3</v>
      </c>
      <c r="T141" s="9">
        <f t="shared" si="103"/>
        <v>3.779935849771108E-3</v>
      </c>
      <c r="U141" s="407">
        <f t="shared" si="104"/>
        <v>8.5260952093317997</v>
      </c>
      <c r="V141" s="409">
        <f t="shared" si="105"/>
        <v>0.14538859903718135</v>
      </c>
      <c r="W141" s="407">
        <f t="shared" si="106"/>
        <v>0.14538859903718135</v>
      </c>
      <c r="X141" s="407">
        <f t="shared" si="107"/>
        <v>8.5260952093317997</v>
      </c>
      <c r="Y141" s="407">
        <f t="shared" si="108"/>
        <v>0.43616579711154402</v>
      </c>
      <c r="Z141" s="407">
        <f t="shared" si="124"/>
        <v>0.13339017872230191</v>
      </c>
      <c r="AA141" s="407">
        <f t="shared" si="125"/>
        <v>6.4512E-2</v>
      </c>
      <c r="AB141" s="407">
        <f t="shared" si="126"/>
        <v>0</v>
      </c>
      <c r="AC141" s="407">
        <f t="shared" si="109"/>
        <v>0.69466587483890574</v>
      </c>
      <c r="AD141" s="407">
        <f t="shared" si="110"/>
        <v>10.2628278915307</v>
      </c>
      <c r="AE141" s="407">
        <f t="shared" si="111"/>
        <v>0.63195381798708283</v>
      </c>
      <c r="AF141" s="407">
        <f t="shared" si="127"/>
        <v>0.18247679999999999</v>
      </c>
      <c r="AG141" s="407">
        <f t="shared" si="112"/>
        <v>0.93225962369721405</v>
      </c>
      <c r="AH141" s="407">
        <f t="shared" si="113"/>
        <v>0</v>
      </c>
      <c r="AI141">
        <f t="shared" si="128"/>
        <v>0</v>
      </c>
      <c r="AJ141" s="408">
        <f t="shared" si="129"/>
        <v>0.20193546239999999</v>
      </c>
      <c r="AK141">
        <f t="shared" si="134"/>
        <v>2.52E-2</v>
      </c>
      <c r="AL141" s="408">
        <f t="shared" si="130"/>
        <v>4.4160000000000005E-2</v>
      </c>
      <c r="AM141" s="408">
        <f t="shared" si="135"/>
        <v>4.9347355729984298E-2</v>
      </c>
      <c r="AN141" s="408">
        <f t="shared" si="114"/>
        <v>6.9360000000000005E-2</v>
      </c>
      <c r="AO141" s="408">
        <f t="shared" si="115"/>
        <v>3.2057307117871763</v>
      </c>
      <c r="AP141">
        <f t="shared" si="131"/>
        <v>66</v>
      </c>
      <c r="AQ141" s="10">
        <f t="shared" si="116"/>
        <v>0.95367824775757792</v>
      </c>
      <c r="AR141" s="63">
        <f t="shared" si="117"/>
        <v>34.733293741945289</v>
      </c>
      <c r="AS141" s="63">
        <f t="shared" si="118"/>
        <v>46.612981184860701</v>
      </c>
      <c r="AT141" s="10"/>
      <c r="AU141">
        <f t="shared" si="119"/>
        <v>95.367824775757796</v>
      </c>
    </row>
    <row r="142" spans="7:47" x14ac:dyDescent="0.2">
      <c r="G142">
        <v>133</v>
      </c>
      <c r="H142">
        <f t="shared" si="120"/>
        <v>13.3</v>
      </c>
      <c r="I142" s="407">
        <f t="shared" si="97"/>
        <v>0.40843650793650788</v>
      </c>
      <c r="J142" s="408">
        <f t="shared" si="121"/>
        <v>6.7363660163139309</v>
      </c>
      <c r="K142" s="408">
        <f t="shared" si="132"/>
        <v>16.668183008156966</v>
      </c>
      <c r="L142" s="408">
        <f t="shared" si="98"/>
        <v>9.9318169918430357</v>
      </c>
      <c r="M142" s="63">
        <f t="shared" si="122"/>
        <v>0</v>
      </c>
      <c r="N142" s="407">
        <f t="shared" si="99"/>
        <v>13.441411840235105</v>
      </c>
      <c r="O142" s="407">
        <f t="shared" si="100"/>
        <v>0.97372772081273118</v>
      </c>
      <c r="P142">
        <f t="shared" si="123"/>
        <v>0.2</v>
      </c>
      <c r="Q142" s="407">
        <f t="shared" si="133"/>
        <v>1.1737277208127312</v>
      </c>
      <c r="R142" s="9">
        <f t="shared" si="101"/>
        <v>1.9446213664393477</v>
      </c>
      <c r="S142" s="9">
        <f t="shared" si="102"/>
        <v>3.781552258812436E-3</v>
      </c>
      <c r="T142" s="9">
        <f t="shared" si="103"/>
        <v>3.781552258812436E-3</v>
      </c>
      <c r="U142" s="407">
        <f t="shared" si="104"/>
        <v>8.5902769389617273</v>
      </c>
      <c r="V142" s="409">
        <f t="shared" si="105"/>
        <v>0.14758571577611534</v>
      </c>
      <c r="W142" s="407">
        <f t="shared" si="106"/>
        <v>0.14758571577611534</v>
      </c>
      <c r="X142" s="407">
        <f t="shared" si="107"/>
        <v>8.5902769389617273</v>
      </c>
      <c r="Y142" s="407">
        <f t="shared" si="108"/>
        <v>0.44275714732834603</v>
      </c>
      <c r="Z142" s="407">
        <f t="shared" si="124"/>
        <v>0.13437787207576116</v>
      </c>
      <c r="AA142" s="407">
        <f t="shared" si="125"/>
        <v>6.4512E-2</v>
      </c>
      <c r="AB142" s="407">
        <f t="shared" si="126"/>
        <v>0</v>
      </c>
      <c r="AC142" s="407">
        <f t="shared" si="109"/>
        <v>0.70398598467047435</v>
      </c>
      <c r="AD142" s="407">
        <f t="shared" si="110"/>
        <v>10.338215241073035</v>
      </c>
      <c r="AE142" s="407">
        <f t="shared" si="111"/>
        <v>0.64127216622452876</v>
      </c>
      <c r="AF142" s="407">
        <f t="shared" si="127"/>
        <v>0.1838592</v>
      </c>
      <c r="AG142" s="407">
        <f t="shared" si="112"/>
        <v>0.94652774581455235</v>
      </c>
      <c r="AH142" s="407">
        <f t="shared" si="113"/>
        <v>0</v>
      </c>
      <c r="AI142">
        <f t="shared" si="128"/>
        <v>0</v>
      </c>
      <c r="AJ142" s="408">
        <f t="shared" si="129"/>
        <v>0.20192578559999999</v>
      </c>
      <c r="AK142">
        <f t="shared" si="134"/>
        <v>2.52E-2</v>
      </c>
      <c r="AL142" s="408">
        <f t="shared" si="130"/>
        <v>4.4160000000000005E-2</v>
      </c>
      <c r="AM142" s="408">
        <f t="shared" si="135"/>
        <v>4.9347355729984298E-2</v>
      </c>
      <c r="AN142" s="408">
        <f t="shared" si="114"/>
        <v>6.9360000000000005E-2</v>
      </c>
      <c r="AO142" s="408">
        <f t="shared" si="115"/>
        <v>3.2468945049326856</v>
      </c>
      <c r="AP142">
        <f t="shared" si="131"/>
        <v>66.5</v>
      </c>
      <c r="AQ142" s="10">
        <f t="shared" si="116"/>
        <v>0.95344746847900086</v>
      </c>
      <c r="AR142" s="63">
        <f t="shared" si="117"/>
        <v>35.199299233523718</v>
      </c>
      <c r="AS142" s="63">
        <f t="shared" si="118"/>
        <v>47.326387290727617</v>
      </c>
      <c r="AT142" s="10"/>
      <c r="AU142">
        <f t="shared" si="119"/>
        <v>95.344746847900083</v>
      </c>
    </row>
    <row r="143" spans="7:47" x14ac:dyDescent="0.2">
      <c r="G143">
        <v>134</v>
      </c>
      <c r="H143">
        <f t="shared" si="120"/>
        <v>13.4</v>
      </c>
      <c r="I143" s="407">
        <f t="shared" si="97"/>
        <v>0.40852380952380957</v>
      </c>
      <c r="J143" s="408">
        <f t="shared" si="121"/>
        <v>6.7378058862433861</v>
      </c>
      <c r="K143" s="408">
        <f t="shared" si="132"/>
        <v>16.768902943121695</v>
      </c>
      <c r="L143" s="408">
        <f t="shared" si="98"/>
        <v>10.031097056878307</v>
      </c>
      <c r="M143" s="63">
        <f t="shared" si="122"/>
        <v>0</v>
      </c>
      <c r="N143" s="407">
        <f t="shared" si="99"/>
        <v>13.54042720941224</v>
      </c>
      <c r="O143" s="407">
        <f t="shared" si="100"/>
        <v>0.98926590335409037</v>
      </c>
      <c r="P143">
        <f t="shared" si="123"/>
        <v>0.2</v>
      </c>
      <c r="Q143" s="407">
        <f t="shared" si="133"/>
        <v>1.1892659033540904</v>
      </c>
      <c r="R143" s="9">
        <f t="shared" si="101"/>
        <v>1.9450370210850321</v>
      </c>
      <c r="S143" s="9">
        <f t="shared" si="102"/>
        <v>3.7831690133913356E-3</v>
      </c>
      <c r="T143" s="9">
        <f t="shared" si="103"/>
        <v>3.7831690133913356E-3</v>
      </c>
      <c r="U143" s="407">
        <f t="shared" si="104"/>
        <v>8.654481489697595</v>
      </c>
      <c r="V143" s="409">
        <f t="shared" si="105"/>
        <v>0.14980009971103661</v>
      </c>
      <c r="W143" s="407">
        <f t="shared" si="106"/>
        <v>0.14980009971103661</v>
      </c>
      <c r="X143" s="407">
        <f t="shared" si="107"/>
        <v>8.654481489697595</v>
      </c>
      <c r="Y143" s="407">
        <f t="shared" si="108"/>
        <v>0.44940029913310986</v>
      </c>
      <c r="Z143" s="407">
        <f t="shared" si="124"/>
        <v>0.13536556542922046</v>
      </c>
      <c r="AA143" s="407">
        <f t="shared" si="125"/>
        <v>6.4512E-2</v>
      </c>
      <c r="AB143" s="407">
        <f t="shared" si="126"/>
        <v>0</v>
      </c>
      <c r="AC143" s="407">
        <f t="shared" si="109"/>
        <v>0.71339813128217222</v>
      </c>
      <c r="AD143" s="407">
        <f t="shared" si="110"/>
        <v>10.413602602263687</v>
      </c>
      <c r="AE143" s="407">
        <f t="shared" si="111"/>
        <v>0.65065871494723815</v>
      </c>
      <c r="AF143" s="407">
        <f t="shared" si="127"/>
        <v>0.18524160000000003</v>
      </c>
      <c r="AG143" s="407">
        <f t="shared" si="112"/>
        <v>0.96095047521328036</v>
      </c>
      <c r="AH143" s="407">
        <f t="shared" si="113"/>
        <v>0</v>
      </c>
      <c r="AI143">
        <f t="shared" si="128"/>
        <v>0</v>
      </c>
      <c r="AJ143" s="408">
        <f t="shared" si="129"/>
        <v>0.20191610880000002</v>
      </c>
      <c r="AK143">
        <f t="shared" si="134"/>
        <v>2.52E-2</v>
      </c>
      <c r="AL143" s="408">
        <f t="shared" si="130"/>
        <v>4.4160000000000005E-2</v>
      </c>
      <c r="AM143" s="408">
        <f t="shared" si="135"/>
        <v>4.9347355729984298E-2</v>
      </c>
      <c r="AN143" s="408">
        <f t="shared" si="114"/>
        <v>6.9360000000000005E-2</v>
      </c>
      <c r="AO143" s="408">
        <f t="shared" si="115"/>
        <v>3.2884738873739709</v>
      </c>
      <c r="AP143">
        <f t="shared" si="131"/>
        <v>67</v>
      </c>
      <c r="AQ143" s="10">
        <f t="shared" si="116"/>
        <v>0.95321460681244519</v>
      </c>
      <c r="AR143" s="63">
        <f t="shared" si="117"/>
        <v>35.669906564108608</v>
      </c>
      <c r="AS143" s="63">
        <f t="shared" si="118"/>
        <v>48.047523760664021</v>
      </c>
      <c r="AT143" s="10"/>
      <c r="AU143">
        <f t="shared" si="119"/>
        <v>95.321460681244517</v>
      </c>
    </row>
    <row r="144" spans="7:47" x14ac:dyDescent="0.2">
      <c r="G144">
        <v>135</v>
      </c>
      <c r="H144">
        <f t="shared" si="120"/>
        <v>13.5</v>
      </c>
      <c r="I144" s="407">
        <f t="shared" si="97"/>
        <v>0.40861111111111115</v>
      </c>
      <c r="J144" s="408">
        <f t="shared" si="121"/>
        <v>6.7392457561728394</v>
      </c>
      <c r="K144" s="408">
        <f t="shared" si="132"/>
        <v>16.869622878086421</v>
      </c>
      <c r="L144" s="408">
        <f t="shared" si="98"/>
        <v>10.130377121913581</v>
      </c>
      <c r="M144" s="63">
        <f t="shared" si="122"/>
        <v>0</v>
      </c>
      <c r="N144" s="407">
        <f t="shared" si="99"/>
        <v>13.639456958160315</v>
      </c>
      <c r="O144" s="407">
        <f t="shared" si="100"/>
        <v>1.004956691856699</v>
      </c>
      <c r="P144">
        <f t="shared" si="123"/>
        <v>0.2</v>
      </c>
      <c r="Q144" s="407">
        <f t="shared" si="133"/>
        <v>1.204956691856699</v>
      </c>
      <c r="R144" s="9">
        <f t="shared" si="101"/>
        <v>1.945452675730716</v>
      </c>
      <c r="S144" s="9">
        <f t="shared" si="102"/>
        <v>3.7847861135078022E-3</v>
      </c>
      <c r="T144" s="9">
        <f t="shared" si="103"/>
        <v>3.7847861135078022E-3</v>
      </c>
      <c r="U144" s="407">
        <f t="shared" si="104"/>
        <v>8.7187086577748616</v>
      </c>
      <c r="V144" s="409">
        <f t="shared" si="105"/>
        <v>0.15203176131831667</v>
      </c>
      <c r="W144" s="407">
        <f t="shared" si="106"/>
        <v>0.15203176131831667</v>
      </c>
      <c r="X144" s="407">
        <f t="shared" si="107"/>
        <v>8.7187086577748616</v>
      </c>
      <c r="Y144" s="407">
        <f t="shared" si="108"/>
        <v>0.45609528395494997</v>
      </c>
      <c r="Z144" s="407">
        <f t="shared" si="124"/>
        <v>0.13635325878267973</v>
      </c>
      <c r="AA144" s="407">
        <f t="shared" si="125"/>
        <v>6.4512E-2</v>
      </c>
      <c r="AB144" s="407">
        <f t="shared" si="126"/>
        <v>0</v>
      </c>
      <c r="AC144" s="407">
        <f t="shared" si="109"/>
        <v>0.72290307983112678</v>
      </c>
      <c r="AD144" s="407">
        <f t="shared" si="110"/>
        <v>10.488989725152251</v>
      </c>
      <c r="AE144" s="407">
        <f t="shared" si="111"/>
        <v>0.66011343272609702</v>
      </c>
      <c r="AF144" s="407">
        <f t="shared" si="127"/>
        <v>0.18662399999999998</v>
      </c>
      <c r="AG144" s="407">
        <f t="shared" si="112"/>
        <v>0.97552945175013484</v>
      </c>
      <c r="AH144" s="407">
        <f t="shared" si="113"/>
        <v>0</v>
      </c>
      <c r="AI144">
        <f t="shared" si="128"/>
        <v>0</v>
      </c>
      <c r="AJ144" s="408">
        <f t="shared" si="129"/>
        <v>0.201906432</v>
      </c>
      <c r="AK144">
        <f t="shared" si="134"/>
        <v>2.52E-2</v>
      </c>
      <c r="AL144" s="408">
        <f t="shared" si="130"/>
        <v>4.4160000000000005E-2</v>
      </c>
      <c r="AM144" s="408">
        <f t="shared" si="135"/>
        <v>4.9347355729984298E-2</v>
      </c>
      <c r="AN144" s="408">
        <f t="shared" si="114"/>
        <v>6.9360000000000005E-2</v>
      </c>
      <c r="AO144" s="408">
        <f t="shared" si="115"/>
        <v>3.3304722028697853</v>
      </c>
      <c r="AP144">
        <f t="shared" si="131"/>
        <v>67.5</v>
      </c>
      <c r="AQ144" s="10">
        <f t="shared" si="116"/>
        <v>0.9529796696352556</v>
      </c>
      <c r="AR144" s="63">
        <f t="shared" si="117"/>
        <v>36.145153991556342</v>
      </c>
      <c r="AS144" s="63">
        <f t="shared" si="118"/>
        <v>48.776472587506738</v>
      </c>
      <c r="AT144" s="10"/>
      <c r="AU144">
        <f t="shared" si="119"/>
        <v>95.297966963525553</v>
      </c>
    </row>
    <row r="145" spans="7:47" x14ac:dyDescent="0.2">
      <c r="G145">
        <v>136</v>
      </c>
      <c r="H145">
        <f t="shared" si="120"/>
        <v>13.600000000000001</v>
      </c>
      <c r="I145" s="407">
        <f t="shared" si="97"/>
        <v>0.40869841269841267</v>
      </c>
      <c r="J145" s="408">
        <f t="shared" si="121"/>
        <v>6.7406856261022918</v>
      </c>
      <c r="K145" s="408">
        <f t="shared" si="132"/>
        <v>16.970342813051147</v>
      </c>
      <c r="L145" s="408">
        <f t="shared" si="98"/>
        <v>10.229657186948856</v>
      </c>
      <c r="M145" s="63">
        <f t="shared" si="122"/>
        <v>0</v>
      </c>
      <c r="N145" s="407">
        <f t="shared" si="99"/>
        <v>13.738500775527214</v>
      </c>
      <c r="O145" s="407">
        <f t="shared" si="100"/>
        <v>1.0208010268205616</v>
      </c>
      <c r="P145">
        <f t="shared" si="123"/>
        <v>0.2</v>
      </c>
      <c r="Q145" s="407">
        <f t="shared" si="133"/>
        <v>1.2208010268205616</v>
      </c>
      <c r="R145" s="9">
        <f t="shared" si="101"/>
        <v>1.9458683303763997</v>
      </c>
      <c r="S145" s="9">
        <f t="shared" si="102"/>
        <v>3.7864035591618377E-3</v>
      </c>
      <c r="T145" s="9">
        <f t="shared" si="103"/>
        <v>3.7864035591618377E-3</v>
      </c>
      <c r="U145" s="407">
        <f t="shared" si="104"/>
        <v>8.7829582452134822</v>
      </c>
      <c r="V145" s="409">
        <f t="shared" si="105"/>
        <v>0.15428071107432698</v>
      </c>
      <c r="W145" s="407">
        <f t="shared" si="106"/>
        <v>0.15428071107432698</v>
      </c>
      <c r="X145" s="407">
        <f t="shared" si="107"/>
        <v>8.7829582452134822</v>
      </c>
      <c r="Y145" s="407">
        <f t="shared" si="108"/>
        <v>0.46284213322298096</v>
      </c>
      <c r="Z145" s="407">
        <f t="shared" si="124"/>
        <v>0.13734095213613898</v>
      </c>
      <c r="AA145" s="407">
        <f t="shared" si="125"/>
        <v>6.4512E-2</v>
      </c>
      <c r="AB145" s="407">
        <f t="shared" si="126"/>
        <v>0</v>
      </c>
      <c r="AC145" s="407">
        <f t="shared" si="109"/>
        <v>0.73250160659638641</v>
      </c>
      <c r="AD145" s="407">
        <f t="shared" si="110"/>
        <v>10.564376366922867</v>
      </c>
      <c r="AE145" s="407">
        <f t="shared" si="111"/>
        <v>0.66963628813199039</v>
      </c>
      <c r="AF145" s="407">
        <f t="shared" si="127"/>
        <v>0.18800640000000002</v>
      </c>
      <c r="AG145" s="407">
        <f t="shared" si="112"/>
        <v>0.99026634388872736</v>
      </c>
      <c r="AH145" s="407">
        <f t="shared" si="113"/>
        <v>0</v>
      </c>
      <c r="AI145">
        <f t="shared" si="128"/>
        <v>0</v>
      </c>
      <c r="AJ145" s="408">
        <f t="shared" si="129"/>
        <v>0.2018967552</v>
      </c>
      <c r="AK145">
        <f t="shared" si="134"/>
        <v>2.52E-2</v>
      </c>
      <c r="AL145" s="408">
        <f t="shared" si="130"/>
        <v>4.4160000000000005E-2</v>
      </c>
      <c r="AM145" s="408">
        <f t="shared" si="135"/>
        <v>4.9347355729984298E-2</v>
      </c>
      <c r="AN145" s="408">
        <f t="shared" si="114"/>
        <v>6.9360000000000005E-2</v>
      </c>
      <c r="AO145" s="408">
        <f t="shared" si="115"/>
        <v>3.3728928471391644</v>
      </c>
      <c r="AP145">
        <f t="shared" si="131"/>
        <v>68</v>
      </c>
      <c r="AQ145" s="10">
        <f t="shared" si="116"/>
        <v>0.95274266303927224</v>
      </c>
      <c r="AR145" s="63">
        <f t="shared" si="117"/>
        <v>36.625080329819319</v>
      </c>
      <c r="AS145" s="63">
        <f t="shared" si="118"/>
        <v>49.513317194436368</v>
      </c>
      <c r="AT145" s="10"/>
      <c r="AU145">
        <f t="shared" si="119"/>
        <v>95.27426630392722</v>
      </c>
    </row>
    <row r="146" spans="7:47" x14ac:dyDescent="0.2">
      <c r="G146">
        <v>137</v>
      </c>
      <c r="H146">
        <f t="shared" si="120"/>
        <v>13.700000000000001</v>
      </c>
      <c r="I146" s="407">
        <f t="shared" si="97"/>
        <v>0.40878571428571436</v>
      </c>
      <c r="J146" s="408">
        <f t="shared" si="121"/>
        <v>6.7421254960317469</v>
      </c>
      <c r="K146" s="408">
        <f t="shared" si="132"/>
        <v>17.071062748015876</v>
      </c>
      <c r="L146" s="408">
        <f t="shared" si="98"/>
        <v>10.328937251984128</v>
      </c>
      <c r="M146" s="63">
        <f t="shared" si="122"/>
        <v>0</v>
      </c>
      <c r="N146" s="407">
        <f t="shared" si="99"/>
        <v>13.837558359419969</v>
      </c>
      <c r="O146" s="407">
        <f t="shared" si="100"/>
        <v>1.0367998611299618</v>
      </c>
      <c r="P146">
        <f t="shared" si="123"/>
        <v>0.2</v>
      </c>
      <c r="Q146" s="407">
        <f t="shared" si="133"/>
        <v>1.2367998611299618</v>
      </c>
      <c r="R146" s="9">
        <f t="shared" si="101"/>
        <v>1.9462839850220843</v>
      </c>
      <c r="S146" s="9">
        <f t="shared" si="102"/>
        <v>3.788021350353445E-3</v>
      </c>
      <c r="T146" s="9">
        <f t="shared" si="103"/>
        <v>3.788021350353445E-3</v>
      </c>
      <c r="U146" s="407">
        <f t="shared" si="104"/>
        <v>8.8472300596129809</v>
      </c>
      <c r="V146" s="409">
        <f t="shared" si="105"/>
        <v>0.15654695945543901</v>
      </c>
      <c r="W146" s="407">
        <f t="shared" si="106"/>
        <v>0.15654695945543901</v>
      </c>
      <c r="X146" s="407">
        <f t="shared" si="107"/>
        <v>8.8472300596129809</v>
      </c>
      <c r="Y146" s="407">
        <f t="shared" si="108"/>
        <v>0.46964087836631702</v>
      </c>
      <c r="Z146" s="407">
        <f t="shared" si="124"/>
        <v>0.13832864548959825</v>
      </c>
      <c r="AA146" s="407">
        <f t="shared" si="125"/>
        <v>6.4512E-2</v>
      </c>
      <c r="AB146" s="407">
        <f t="shared" si="126"/>
        <v>0</v>
      </c>
      <c r="AC146" s="407">
        <f t="shared" si="109"/>
        <v>0.74219449915640801</v>
      </c>
      <c r="AD146" s="407">
        <f t="shared" si="110"/>
        <v>10.639762291641386</v>
      </c>
      <c r="AE146" s="407">
        <f t="shared" si="111"/>
        <v>0.67922724973580373</v>
      </c>
      <c r="AF146" s="407">
        <f t="shared" si="127"/>
        <v>0.18938880000000002</v>
      </c>
      <c r="AG146" s="407">
        <f t="shared" si="112"/>
        <v>1.0051628492642799</v>
      </c>
      <c r="AH146" s="407">
        <f t="shared" si="113"/>
        <v>0</v>
      </c>
      <c r="AI146">
        <f t="shared" si="128"/>
        <v>0</v>
      </c>
      <c r="AJ146" s="408">
        <f t="shared" si="129"/>
        <v>0.2018870784</v>
      </c>
      <c r="AK146">
        <f t="shared" si="134"/>
        <v>2.52E-2</v>
      </c>
      <c r="AL146" s="408">
        <f t="shared" si="130"/>
        <v>4.4160000000000005E-2</v>
      </c>
      <c r="AM146" s="408">
        <f t="shared" si="135"/>
        <v>4.9347355729984298E-2</v>
      </c>
      <c r="AN146" s="408">
        <f t="shared" si="114"/>
        <v>6.9360000000000005E-2</v>
      </c>
      <c r="AO146" s="408">
        <f t="shared" si="115"/>
        <v>3.4157392687564418</v>
      </c>
      <c r="AP146">
        <f t="shared" si="131"/>
        <v>68.5</v>
      </c>
      <c r="AQ146" s="10">
        <f t="shared" si="116"/>
        <v>0.95250359235004911</v>
      </c>
      <c r="AR146" s="63">
        <f t="shared" si="117"/>
        <v>37.109724957820397</v>
      </c>
      <c r="AS146" s="63">
        <f t="shared" si="118"/>
        <v>50.258142463213993</v>
      </c>
      <c r="AT146" s="10"/>
      <c r="AU146">
        <f t="shared" si="119"/>
        <v>95.250359235004908</v>
      </c>
    </row>
    <row r="147" spans="7:47" x14ac:dyDescent="0.2">
      <c r="G147">
        <v>138</v>
      </c>
      <c r="H147">
        <f t="shared" si="120"/>
        <v>13.799999999999999</v>
      </c>
      <c r="I147" s="407">
        <f t="shared" si="97"/>
        <v>0.40887301587301589</v>
      </c>
      <c r="J147" s="408">
        <f t="shared" si="121"/>
        <v>6.7435653659611994</v>
      </c>
      <c r="K147" s="408">
        <f t="shared" si="132"/>
        <v>17.171782682980599</v>
      </c>
      <c r="L147" s="408">
        <f t="shared" si="98"/>
        <v>10.428217317019399</v>
      </c>
      <c r="M147" s="63">
        <f t="shared" si="122"/>
        <v>0</v>
      </c>
      <c r="N147" s="407">
        <f t="shared" si="99"/>
        <v>13.936629416292972</v>
      </c>
      <c r="O147" s="407">
        <f t="shared" si="100"/>
        <v>1.052954160208935</v>
      </c>
      <c r="P147">
        <f t="shared" si="123"/>
        <v>0.2</v>
      </c>
      <c r="Q147" s="407">
        <f t="shared" si="133"/>
        <v>1.2529541602089349</v>
      </c>
      <c r="R147" s="9">
        <f t="shared" si="101"/>
        <v>1.9466996396677678</v>
      </c>
      <c r="S147" s="9">
        <f t="shared" si="102"/>
        <v>3.7896394870826173E-3</v>
      </c>
      <c r="T147" s="9">
        <f t="shared" si="103"/>
        <v>3.7896394870826173E-3</v>
      </c>
      <c r="U147" s="407">
        <f t="shared" si="104"/>
        <v>8.9115239139561346</v>
      </c>
      <c r="V147" s="409">
        <f t="shared" si="105"/>
        <v>0.15883051693802411</v>
      </c>
      <c r="W147" s="407">
        <f t="shared" si="106"/>
        <v>0.15883051693802411</v>
      </c>
      <c r="X147" s="407">
        <f t="shared" si="107"/>
        <v>8.9115239139561346</v>
      </c>
      <c r="Y147" s="407">
        <f t="shared" si="108"/>
        <v>0.47649155081407235</v>
      </c>
      <c r="Z147" s="407">
        <f t="shared" si="124"/>
        <v>0.13931633884305752</v>
      </c>
      <c r="AA147" s="407">
        <f t="shared" si="125"/>
        <v>6.4512E-2</v>
      </c>
      <c r="AB147" s="407">
        <f t="shared" si="126"/>
        <v>0</v>
      </c>
      <c r="AC147" s="407">
        <f t="shared" si="109"/>
        <v>0.75198255657018109</v>
      </c>
      <c r="AD147" s="407">
        <f t="shared" si="110"/>
        <v>10.715147270013162</v>
      </c>
      <c r="AE147" s="407">
        <f t="shared" si="111"/>
        <v>0.68888628610842317</v>
      </c>
      <c r="AF147" s="407">
        <f t="shared" si="127"/>
        <v>0.19077119999999997</v>
      </c>
      <c r="AG147" s="407">
        <f t="shared" si="112"/>
        <v>1.020220695262489</v>
      </c>
      <c r="AH147" s="407">
        <f t="shared" si="113"/>
        <v>0</v>
      </c>
      <c r="AI147">
        <f t="shared" si="128"/>
        <v>0</v>
      </c>
      <c r="AJ147" s="408">
        <f t="shared" si="129"/>
        <v>0.20187740159999998</v>
      </c>
      <c r="AK147">
        <f t="shared" si="134"/>
        <v>2.52E-2</v>
      </c>
      <c r="AL147" s="408">
        <f t="shared" si="130"/>
        <v>4.4160000000000005E-2</v>
      </c>
      <c r="AM147" s="408">
        <f t="shared" si="135"/>
        <v>4.9347355729984298E-2</v>
      </c>
      <c r="AN147" s="408">
        <f t="shared" si="114"/>
        <v>6.9360000000000005E-2</v>
      </c>
      <c r="AO147" s="408">
        <f t="shared" si="115"/>
        <v>3.4590149700667121</v>
      </c>
      <c r="AP147">
        <f t="shared" si="131"/>
        <v>69</v>
      </c>
      <c r="AQ147" s="10">
        <f t="shared" si="116"/>
        <v>0.9522624621450394</v>
      </c>
      <c r="AR147" s="63">
        <f t="shared" si="117"/>
        <v>37.599127828509054</v>
      </c>
      <c r="AS147" s="63">
        <f t="shared" si="118"/>
        <v>51.011034763124449</v>
      </c>
      <c r="AT147" s="10"/>
      <c r="AU147">
        <f t="shared" si="119"/>
        <v>95.226246214503945</v>
      </c>
    </row>
    <row r="148" spans="7:47" x14ac:dyDescent="0.2">
      <c r="G148">
        <v>139</v>
      </c>
      <c r="H148">
        <f t="shared" si="120"/>
        <v>13.899999999999999</v>
      </c>
      <c r="I148" s="407">
        <f t="shared" si="97"/>
        <v>0.40896031746031747</v>
      </c>
      <c r="J148" s="408">
        <f t="shared" si="121"/>
        <v>6.7450052358906518</v>
      </c>
      <c r="K148" s="408">
        <f t="shared" si="132"/>
        <v>17.272502617945324</v>
      </c>
      <c r="L148" s="408">
        <f t="shared" si="98"/>
        <v>10.527497382054673</v>
      </c>
      <c r="M148" s="63">
        <f t="shared" si="122"/>
        <v>0</v>
      </c>
      <c r="N148" s="407">
        <f t="shared" si="99"/>
        <v>14.035713660849217</v>
      </c>
      <c r="O148" s="407">
        <f t="shared" si="100"/>
        <v>1.0692649021794789</v>
      </c>
      <c r="P148">
        <f t="shared" si="123"/>
        <v>0.2</v>
      </c>
      <c r="Q148" s="407">
        <f t="shared" si="133"/>
        <v>1.2692649021794788</v>
      </c>
      <c r="R148" s="9">
        <f t="shared" si="101"/>
        <v>1.9471152943134515</v>
      </c>
      <c r="S148" s="9">
        <f t="shared" si="102"/>
        <v>3.7912579693493592E-3</v>
      </c>
      <c r="T148" s="9">
        <f t="shared" si="103"/>
        <v>3.7912579693493592E-3</v>
      </c>
      <c r="U148" s="407">
        <f t="shared" si="104"/>
        <v>8.9758396264208624</v>
      </c>
      <c r="V148" s="409">
        <f t="shared" si="105"/>
        <v>0.161131393998454</v>
      </c>
      <c r="W148" s="407">
        <f t="shared" si="106"/>
        <v>0.161131393998454</v>
      </c>
      <c r="X148" s="407">
        <f t="shared" si="107"/>
        <v>8.9758396264208624</v>
      </c>
      <c r="Y148" s="407">
        <f t="shared" si="108"/>
        <v>0.48339418199536199</v>
      </c>
      <c r="Z148" s="407">
        <f t="shared" si="124"/>
        <v>0.14030403219651674</v>
      </c>
      <c r="AA148" s="407">
        <f t="shared" si="125"/>
        <v>6.4512E-2</v>
      </c>
      <c r="AB148" s="407">
        <f t="shared" si="126"/>
        <v>0</v>
      </c>
      <c r="AC148" s="407">
        <f t="shared" si="109"/>
        <v>0.76186658956206921</v>
      </c>
      <c r="AD148" s="407">
        <f t="shared" si="110"/>
        <v>10.79053107915094</v>
      </c>
      <c r="AE148" s="407">
        <f t="shared" si="111"/>
        <v>0.69861336582073408</v>
      </c>
      <c r="AF148" s="407">
        <f t="shared" si="127"/>
        <v>0.19215359999999998</v>
      </c>
      <c r="AG148" s="407">
        <f t="shared" si="112"/>
        <v>1.035441639612918</v>
      </c>
      <c r="AH148" s="407">
        <f t="shared" si="113"/>
        <v>0</v>
      </c>
      <c r="AI148">
        <f t="shared" si="128"/>
        <v>0</v>
      </c>
      <c r="AJ148" s="408">
        <f t="shared" si="129"/>
        <v>0.20186772480000001</v>
      </c>
      <c r="AK148">
        <f t="shared" si="134"/>
        <v>2.52E-2</v>
      </c>
      <c r="AL148" s="408">
        <f t="shared" si="130"/>
        <v>4.4160000000000005E-2</v>
      </c>
      <c r="AM148" s="408">
        <f t="shared" si="135"/>
        <v>4.9347355729984298E-2</v>
      </c>
      <c r="AN148" s="408">
        <f t="shared" si="114"/>
        <v>6.9360000000000005E-2</v>
      </c>
      <c r="AO148" s="408">
        <f t="shared" si="115"/>
        <v>3.5027235081222696</v>
      </c>
      <c r="AP148">
        <f t="shared" si="131"/>
        <v>69.5</v>
      </c>
      <c r="AQ148" s="10">
        <f t="shared" si="116"/>
        <v>0.95201927627080163</v>
      </c>
      <c r="AR148" s="63">
        <f t="shared" si="117"/>
        <v>38.093329478103463</v>
      </c>
      <c r="AS148" s="63">
        <f t="shared" si="118"/>
        <v>51.772081980645901</v>
      </c>
      <c r="AT148" s="10"/>
      <c r="AU148">
        <f t="shared" si="119"/>
        <v>95.201927627080167</v>
      </c>
    </row>
    <row r="149" spans="7:47" x14ac:dyDescent="0.2">
      <c r="G149">
        <v>140</v>
      </c>
      <c r="H149">
        <f t="shared" si="120"/>
        <v>14</v>
      </c>
      <c r="I149" s="407">
        <f t="shared" si="97"/>
        <v>0.40904761904761905</v>
      </c>
      <c r="J149" s="408">
        <f t="shared" si="121"/>
        <v>6.7464451058201051</v>
      </c>
      <c r="K149" s="408">
        <f t="shared" si="132"/>
        <v>17.373222552910054</v>
      </c>
      <c r="L149" s="408">
        <f t="shared" si="98"/>
        <v>10.626777447089948</v>
      </c>
      <c r="M149" s="63">
        <f t="shared" si="122"/>
        <v>0</v>
      </c>
      <c r="N149" s="407">
        <f t="shared" si="99"/>
        <v>14.134810815753909</v>
      </c>
      <c r="O149" s="407">
        <f t="shared" si="100"/>
        <v>1.0857330780225498</v>
      </c>
      <c r="P149">
        <f t="shared" si="123"/>
        <v>0.2</v>
      </c>
      <c r="Q149" s="407">
        <f t="shared" si="133"/>
        <v>1.2857330780225498</v>
      </c>
      <c r="R149" s="9">
        <f t="shared" si="101"/>
        <v>1.9475309489591357</v>
      </c>
      <c r="S149" s="9">
        <f t="shared" si="102"/>
        <v>3.7928767971536718E-3</v>
      </c>
      <c r="T149" s="9">
        <f t="shared" si="103"/>
        <v>3.7928767971536718E-3</v>
      </c>
      <c r="U149" s="407">
        <f t="shared" si="104"/>
        <v>9.0401770201998808</v>
      </c>
      <c r="V149" s="409">
        <f t="shared" si="105"/>
        <v>0.1634496011131</v>
      </c>
      <c r="W149" s="407">
        <f t="shared" si="106"/>
        <v>0.1634496011131</v>
      </c>
      <c r="X149" s="407">
        <f t="shared" si="107"/>
        <v>9.0401770201998808</v>
      </c>
      <c r="Y149" s="407">
        <f t="shared" si="108"/>
        <v>0.49034880333929998</v>
      </c>
      <c r="Z149" s="407">
        <f t="shared" si="124"/>
        <v>0.14129172554997604</v>
      </c>
      <c r="AA149" s="407">
        <f t="shared" si="125"/>
        <v>6.4512E-2</v>
      </c>
      <c r="AB149" s="407">
        <f t="shared" si="126"/>
        <v>0</v>
      </c>
      <c r="AC149" s="407">
        <f t="shared" si="109"/>
        <v>0.77184742071045542</v>
      </c>
      <c r="AD149" s="407">
        <f t="shared" si="110"/>
        <v>10.865913502352376</v>
      </c>
      <c r="AE149" s="407">
        <f t="shared" si="111"/>
        <v>0.70840845744362202</v>
      </c>
      <c r="AF149" s="407">
        <f t="shared" si="127"/>
        <v>0.19353599999999999</v>
      </c>
      <c r="AG149" s="407">
        <f t="shared" si="112"/>
        <v>1.0508274709973442</v>
      </c>
      <c r="AH149" s="407">
        <f t="shared" si="113"/>
        <v>0</v>
      </c>
      <c r="AI149">
        <f t="shared" si="128"/>
        <v>0</v>
      </c>
      <c r="AJ149" s="408">
        <f t="shared" si="129"/>
        <v>0.20185804800000001</v>
      </c>
      <c r="AK149">
        <f t="shared" si="134"/>
        <v>2.52E-2</v>
      </c>
      <c r="AL149" s="408">
        <f t="shared" si="130"/>
        <v>4.4160000000000005E-2</v>
      </c>
      <c r="AM149" s="408">
        <f t="shared" si="135"/>
        <v>4.9347355729984298E-2</v>
      </c>
      <c r="AN149" s="408">
        <f t="shared" si="114"/>
        <v>6.9360000000000005E-2</v>
      </c>
      <c r="AO149" s="408">
        <f t="shared" si="115"/>
        <v>3.5468684956406031</v>
      </c>
      <c r="AP149">
        <f t="shared" si="131"/>
        <v>70</v>
      </c>
      <c r="AQ149" s="10">
        <f t="shared" si="116"/>
        <v>0.95177403785926185</v>
      </c>
      <c r="AR149" s="63">
        <f t="shared" si="117"/>
        <v>38.592371035522774</v>
      </c>
      <c r="AS149" s="63">
        <f t="shared" si="118"/>
        <v>52.54137354986721</v>
      </c>
      <c r="AT149" s="10"/>
      <c r="AU149">
        <f t="shared" si="119"/>
        <v>95.177403785926188</v>
      </c>
    </row>
    <row r="150" spans="7:47" x14ac:dyDescent="0.2">
      <c r="G150">
        <v>141</v>
      </c>
      <c r="H150">
        <f t="shared" si="120"/>
        <v>14.1</v>
      </c>
      <c r="I150" s="407">
        <f t="shared" si="97"/>
        <v>0.40913492063492063</v>
      </c>
      <c r="J150" s="408">
        <f t="shared" si="121"/>
        <v>6.7478849757495576</v>
      </c>
      <c r="K150" s="408">
        <f t="shared" si="132"/>
        <v>17.47394248787478</v>
      </c>
      <c r="L150" s="408">
        <f t="shared" si="98"/>
        <v>10.726057512125221</v>
      </c>
      <c r="M150" s="63">
        <f t="shared" si="122"/>
        <v>0</v>
      </c>
      <c r="N150" s="407">
        <f t="shared" si="99"/>
        <v>14.233920611359878</v>
      </c>
      <c r="O150" s="407">
        <f t="shared" si="100"/>
        <v>1.1023596917419014</v>
      </c>
      <c r="P150">
        <f t="shared" si="123"/>
        <v>0.2</v>
      </c>
      <c r="Q150" s="407">
        <f t="shared" si="133"/>
        <v>1.3023596917419014</v>
      </c>
      <c r="R150" s="9">
        <f t="shared" si="101"/>
        <v>1.9479466036048194</v>
      </c>
      <c r="S150" s="9">
        <f t="shared" si="102"/>
        <v>3.7944959704955517E-3</v>
      </c>
      <c r="T150" s="9">
        <f t="shared" si="103"/>
        <v>3.7944959704955517E-3</v>
      </c>
      <c r="U150" s="407">
        <f t="shared" si="104"/>
        <v>9.1045359233278216</v>
      </c>
      <c r="V150" s="409">
        <f t="shared" si="105"/>
        <v>0.16578514875833358</v>
      </c>
      <c r="W150" s="407">
        <f t="shared" si="106"/>
        <v>0.16578514875833358</v>
      </c>
      <c r="X150" s="407">
        <f t="shared" si="107"/>
        <v>9.1045359233278216</v>
      </c>
      <c r="Y150" s="407">
        <f t="shared" si="108"/>
        <v>0.49735544627500072</v>
      </c>
      <c r="Z150" s="407">
        <f t="shared" si="124"/>
        <v>0.14227941890343532</v>
      </c>
      <c r="AA150" s="407">
        <f t="shared" si="125"/>
        <v>6.4512E-2</v>
      </c>
      <c r="AB150" s="407">
        <f t="shared" si="126"/>
        <v>0</v>
      </c>
      <c r="AC150" s="407">
        <f t="shared" si="109"/>
        <v>0.78192588464028479</v>
      </c>
      <c r="AD150" s="407">
        <f t="shared" si="110"/>
        <v>10.941294328886723</v>
      </c>
      <c r="AE150" s="407">
        <f t="shared" si="111"/>
        <v>0.71827152954797269</v>
      </c>
      <c r="AF150" s="407">
        <f t="shared" si="127"/>
        <v>0.19491840000000002</v>
      </c>
      <c r="AG150" s="407">
        <f t="shared" si="112"/>
        <v>1.0663800096734837</v>
      </c>
      <c r="AH150" s="407">
        <f t="shared" si="113"/>
        <v>0</v>
      </c>
      <c r="AI150">
        <f t="shared" si="128"/>
        <v>0</v>
      </c>
      <c r="AJ150" s="408">
        <f t="shared" si="129"/>
        <v>0.20184837119999999</v>
      </c>
      <c r="AK150">
        <f t="shared" si="134"/>
        <v>2.52E-2</v>
      </c>
      <c r="AL150" s="408">
        <f t="shared" si="130"/>
        <v>4.4160000000000005E-2</v>
      </c>
      <c r="AM150" s="408">
        <f t="shared" si="135"/>
        <v>4.9347355729984298E-2</v>
      </c>
      <c r="AN150" s="408">
        <f t="shared" si="114"/>
        <v>6.9360000000000005E-2</v>
      </c>
      <c r="AO150" s="408">
        <f t="shared" si="115"/>
        <v>3.5914536019844987</v>
      </c>
      <c r="AP150">
        <f t="shared" si="131"/>
        <v>70.5</v>
      </c>
      <c r="AQ150" s="10">
        <f t="shared" si="116"/>
        <v>0.95152674934308079</v>
      </c>
      <c r="AR150" s="63">
        <f t="shared" si="117"/>
        <v>39.096294232014237</v>
      </c>
      <c r="AS150" s="63">
        <f t="shared" si="118"/>
        <v>53.319000483674181</v>
      </c>
      <c r="AT150" s="10"/>
      <c r="AU150">
        <f t="shared" si="119"/>
        <v>95.152674934308081</v>
      </c>
    </row>
    <row r="151" spans="7:47" x14ac:dyDescent="0.2">
      <c r="G151">
        <v>142</v>
      </c>
      <c r="H151">
        <f t="shared" si="120"/>
        <v>14.2</v>
      </c>
      <c r="I151" s="407">
        <f t="shared" si="97"/>
        <v>0.40922222222222226</v>
      </c>
      <c r="J151" s="408">
        <f t="shared" si="121"/>
        <v>6.7493248456790118</v>
      </c>
      <c r="K151" s="408">
        <f t="shared" si="132"/>
        <v>17.574662422839506</v>
      </c>
      <c r="L151" s="408">
        <f t="shared" si="98"/>
        <v>10.825337577160493</v>
      </c>
      <c r="M151" s="63">
        <f t="shared" si="122"/>
        <v>0</v>
      </c>
      <c r="N151" s="407">
        <f t="shared" si="99"/>
        <v>14.333042785444233</v>
      </c>
      <c r="O151" s="407">
        <f t="shared" si="100"/>
        <v>1.1191457605308162</v>
      </c>
      <c r="P151">
        <f t="shared" si="123"/>
        <v>0.2</v>
      </c>
      <c r="Q151" s="407">
        <f t="shared" si="133"/>
        <v>1.3191457605308161</v>
      </c>
      <c r="R151" s="9">
        <f t="shared" si="101"/>
        <v>1.9483622582505036</v>
      </c>
      <c r="S151" s="9">
        <f t="shared" si="102"/>
        <v>3.7961154893750024E-3</v>
      </c>
      <c r="T151" s="9">
        <f t="shared" si="103"/>
        <v>3.7961154893750024E-3</v>
      </c>
      <c r="U151" s="407">
        <f t="shared" si="104"/>
        <v>9.1689161685154001</v>
      </c>
      <c r="V151" s="409">
        <f t="shared" si="105"/>
        <v>0.16813804741052624</v>
      </c>
      <c r="W151" s="407">
        <f t="shared" si="106"/>
        <v>0.16813804741052624</v>
      </c>
      <c r="X151" s="407">
        <f t="shared" si="107"/>
        <v>9.1689161685154001</v>
      </c>
      <c r="Y151" s="407">
        <f t="shared" si="108"/>
        <v>0.50441414223157877</v>
      </c>
      <c r="Z151" s="407">
        <f t="shared" si="124"/>
        <v>0.14326711225689459</v>
      </c>
      <c r="AA151" s="407">
        <f t="shared" si="125"/>
        <v>6.4512E-2</v>
      </c>
      <c r="AB151" s="407">
        <f t="shared" si="126"/>
        <v>0</v>
      </c>
      <c r="AC151" s="407">
        <f t="shared" si="109"/>
        <v>0.79210282821959188</v>
      </c>
      <c r="AD151" s="407">
        <f t="shared" si="110"/>
        <v>11.016673353790239</v>
      </c>
      <c r="AE151" s="407">
        <f t="shared" si="111"/>
        <v>0.72820255070467121</v>
      </c>
      <c r="AF151" s="407">
        <f t="shared" si="127"/>
        <v>0.19630079999999997</v>
      </c>
      <c r="AG151" s="407">
        <f t="shared" si="112"/>
        <v>1.0821011081145435</v>
      </c>
      <c r="AH151" s="407">
        <f t="shared" si="113"/>
        <v>0</v>
      </c>
      <c r="AI151">
        <f t="shared" si="128"/>
        <v>0</v>
      </c>
      <c r="AJ151" s="408">
        <f t="shared" si="129"/>
        <v>0.20183869439999999</v>
      </c>
      <c r="AK151">
        <f t="shared" si="134"/>
        <v>2.52E-2</v>
      </c>
      <c r="AL151" s="408">
        <f t="shared" si="130"/>
        <v>4.4160000000000005E-2</v>
      </c>
      <c r="AM151" s="408">
        <f t="shared" si="135"/>
        <v>4.9347355729984298E-2</v>
      </c>
      <c r="AN151" s="408">
        <f t="shared" si="114"/>
        <v>6.9360000000000005E-2</v>
      </c>
      <c r="AO151" s="408">
        <f t="shared" si="115"/>
        <v>3.6364825541648531</v>
      </c>
      <c r="AP151">
        <f t="shared" si="131"/>
        <v>71</v>
      </c>
      <c r="AQ151" s="10">
        <f t="shared" si="116"/>
        <v>0.95127741247015751</v>
      </c>
      <c r="AR151" s="63">
        <f t="shared" si="117"/>
        <v>39.605141410979591</v>
      </c>
      <c r="AS151" s="63">
        <f t="shared" si="118"/>
        <v>54.105055405727178</v>
      </c>
      <c r="AT151" s="10"/>
      <c r="AU151">
        <f t="shared" si="119"/>
        <v>95.127741247015749</v>
      </c>
    </row>
    <row r="152" spans="7:47" x14ac:dyDescent="0.2">
      <c r="G152">
        <v>143</v>
      </c>
      <c r="H152">
        <f t="shared" si="120"/>
        <v>14.299999999999999</v>
      </c>
      <c r="I152" s="407">
        <f t="shared" si="97"/>
        <v>0.40930952380952385</v>
      </c>
      <c r="J152" s="408">
        <f t="shared" si="121"/>
        <v>6.7507647156084651</v>
      </c>
      <c r="K152" s="408">
        <f t="shared" si="132"/>
        <v>17.675382357804232</v>
      </c>
      <c r="L152" s="408">
        <f t="shared" si="98"/>
        <v>10.924617642195766</v>
      </c>
      <c r="M152" s="63">
        <f t="shared" si="122"/>
        <v>0</v>
      </c>
      <c r="N152" s="407">
        <f t="shared" si="99"/>
        <v>14.432177082955709</v>
      </c>
      <c r="O152" s="407">
        <f t="shared" si="100"/>
        <v>1.1360923149417888</v>
      </c>
      <c r="P152">
        <f t="shared" si="123"/>
        <v>0.2</v>
      </c>
      <c r="Q152" s="407">
        <f t="shared" si="133"/>
        <v>1.3360923149417887</v>
      </c>
      <c r="R152" s="9">
        <f t="shared" si="101"/>
        <v>1.9487779128961875</v>
      </c>
      <c r="S152" s="9">
        <f t="shared" si="102"/>
        <v>3.7977353537920204E-3</v>
      </c>
      <c r="T152" s="9">
        <f t="shared" si="103"/>
        <v>3.7977353537920204E-3</v>
      </c>
      <c r="U152" s="407">
        <f t="shared" si="104"/>
        <v>9.2333175929903284</v>
      </c>
      <c r="V152" s="409">
        <f t="shared" si="105"/>
        <v>0.17050830754604943</v>
      </c>
      <c r="W152" s="407">
        <f t="shared" si="106"/>
        <v>0.17050830754604943</v>
      </c>
      <c r="X152" s="407">
        <f t="shared" si="107"/>
        <v>9.2333175929903284</v>
      </c>
      <c r="Y152" s="407">
        <f t="shared" si="108"/>
        <v>0.5115249226381483</v>
      </c>
      <c r="Z152" s="407">
        <f t="shared" si="124"/>
        <v>0.14425480561035384</v>
      </c>
      <c r="AA152" s="407">
        <f t="shared" si="125"/>
        <v>6.4512E-2</v>
      </c>
      <c r="AB152" s="407">
        <f t="shared" si="126"/>
        <v>0</v>
      </c>
      <c r="AC152" s="407">
        <f t="shared" si="109"/>
        <v>0.80237911076010837</v>
      </c>
      <c r="AD152" s="407">
        <f t="shared" si="110"/>
        <v>11.092050377669912</v>
      </c>
      <c r="AE152" s="407">
        <f t="shared" si="111"/>
        <v>0.7382014894846034</v>
      </c>
      <c r="AF152" s="407">
        <f t="shared" si="127"/>
        <v>0.19768319999999998</v>
      </c>
      <c r="AG152" s="407">
        <f t="shared" si="112"/>
        <v>1.0979926516650631</v>
      </c>
      <c r="AH152" s="407">
        <f t="shared" si="113"/>
        <v>0</v>
      </c>
      <c r="AI152">
        <f t="shared" si="128"/>
        <v>0</v>
      </c>
      <c r="AJ152" s="408">
        <f t="shared" si="129"/>
        <v>0.20182901759999999</v>
      </c>
      <c r="AK152">
        <f t="shared" si="134"/>
        <v>2.52E-2</v>
      </c>
      <c r="AL152" s="408">
        <f t="shared" si="130"/>
        <v>4.4160000000000005E-2</v>
      </c>
      <c r="AM152" s="408">
        <f t="shared" si="135"/>
        <v>4.9347355729984298E-2</v>
      </c>
      <c r="AN152" s="408">
        <f t="shared" si="114"/>
        <v>6.9360000000000005E-2</v>
      </c>
      <c r="AO152" s="408">
        <f t="shared" si="115"/>
        <v>3.681959137866802</v>
      </c>
      <c r="AP152">
        <f t="shared" si="131"/>
        <v>71.5</v>
      </c>
      <c r="AQ152" s="10">
        <f t="shared" si="116"/>
        <v>0.95102602831731331</v>
      </c>
      <c r="AR152" s="63">
        <f t="shared" si="117"/>
        <v>40.118955538005416</v>
      </c>
      <c r="AS152" s="63">
        <f t="shared" si="118"/>
        <v>54.899632583253158</v>
      </c>
      <c r="AT152" s="10"/>
      <c r="AU152">
        <f t="shared" si="119"/>
        <v>95.102602831731332</v>
      </c>
    </row>
    <row r="153" spans="7:47" x14ac:dyDescent="0.2">
      <c r="G153">
        <v>144</v>
      </c>
      <c r="H153">
        <f t="shared" si="120"/>
        <v>14.399999999999999</v>
      </c>
      <c r="I153" s="407">
        <f t="shared" si="97"/>
        <v>0.40939682539682543</v>
      </c>
      <c r="J153" s="408">
        <f t="shared" si="121"/>
        <v>6.7522045855379185</v>
      </c>
      <c r="K153" s="408">
        <f t="shared" si="132"/>
        <v>17.776102292768957</v>
      </c>
      <c r="L153" s="408">
        <f t="shared" si="98"/>
        <v>11.02389770723104</v>
      </c>
      <c r="M153" s="63">
        <f t="shared" si="122"/>
        <v>0</v>
      </c>
      <c r="N153" s="407">
        <f t="shared" si="99"/>
        <v>14.53132325577222</v>
      </c>
      <c r="O153" s="407">
        <f t="shared" si="100"/>
        <v>1.1532003990592121</v>
      </c>
      <c r="P153">
        <f t="shared" si="123"/>
        <v>0.2</v>
      </c>
      <c r="Q153" s="407">
        <f t="shared" si="133"/>
        <v>1.3532003990592121</v>
      </c>
      <c r="R153" s="9">
        <f t="shared" si="101"/>
        <v>1.9491935675418715</v>
      </c>
      <c r="S153" s="9">
        <f t="shared" si="102"/>
        <v>3.7993555637466083E-3</v>
      </c>
      <c r="T153" s="9">
        <f t="shared" si="103"/>
        <v>3.7993555637466083E-3</v>
      </c>
      <c r="U153" s="407">
        <f t="shared" si="104"/>
        <v>9.2977400383446582</v>
      </c>
      <c r="V153" s="409">
        <f t="shared" si="105"/>
        <v>0.17289593964127464</v>
      </c>
      <c r="W153" s="407">
        <f t="shared" si="106"/>
        <v>0.17289593964127464</v>
      </c>
      <c r="X153" s="407">
        <f t="shared" si="107"/>
        <v>9.2977400383446582</v>
      </c>
      <c r="Y153" s="407">
        <f t="shared" si="108"/>
        <v>0.51868781892382398</v>
      </c>
      <c r="Z153" s="407">
        <f t="shared" si="124"/>
        <v>0.14524249896381314</v>
      </c>
      <c r="AA153" s="407">
        <f t="shared" si="125"/>
        <v>6.4512E-2</v>
      </c>
      <c r="AB153" s="407">
        <f t="shared" si="126"/>
        <v>0</v>
      </c>
      <c r="AC153" s="407">
        <f t="shared" si="109"/>
        <v>0.81275560422204685</v>
      </c>
      <c r="AD153" s="407">
        <f t="shared" si="110"/>
        <v>11.167425206515118</v>
      </c>
      <c r="AE153" s="407">
        <f t="shared" si="111"/>
        <v>0.74826831445865538</v>
      </c>
      <c r="AF153" s="407">
        <f t="shared" si="127"/>
        <v>0.19906559999999998</v>
      </c>
      <c r="AG153" s="407">
        <f t="shared" si="112"/>
        <v>1.1140565592135168</v>
      </c>
      <c r="AH153" s="407">
        <f t="shared" si="113"/>
        <v>0</v>
      </c>
      <c r="AI153">
        <f t="shared" si="128"/>
        <v>0</v>
      </c>
      <c r="AJ153" s="408">
        <f t="shared" si="129"/>
        <v>0.2018193408</v>
      </c>
      <c r="AK153">
        <f t="shared" si="134"/>
        <v>2.52E-2</v>
      </c>
      <c r="AL153" s="408">
        <f t="shared" si="130"/>
        <v>4.4160000000000005E-2</v>
      </c>
      <c r="AM153" s="408">
        <f t="shared" si="135"/>
        <v>4.9347355729984298E-2</v>
      </c>
      <c r="AN153" s="408">
        <f t="shared" si="114"/>
        <v>6.9360000000000005E-2</v>
      </c>
      <c r="AO153" s="408">
        <f t="shared" si="115"/>
        <v>3.7278871984997974</v>
      </c>
      <c r="AP153">
        <f t="shared" si="131"/>
        <v>72</v>
      </c>
      <c r="AQ153" s="10">
        <f t="shared" si="116"/>
        <v>0.95077259730318142</v>
      </c>
      <c r="AR153" s="63">
        <f t="shared" si="117"/>
        <v>40.637780211102346</v>
      </c>
      <c r="AS153" s="63">
        <f t="shared" si="118"/>
        <v>55.70282796067584</v>
      </c>
      <c r="AT153" s="10"/>
      <c r="AU153">
        <f t="shared" si="119"/>
        <v>95.077259730318147</v>
      </c>
    </row>
    <row r="154" spans="7:47" x14ac:dyDescent="0.2">
      <c r="G154">
        <v>145</v>
      </c>
      <c r="H154">
        <f t="shared" si="120"/>
        <v>14.5</v>
      </c>
      <c r="I154" s="407">
        <f t="shared" si="97"/>
        <v>0.40948412698412695</v>
      </c>
      <c r="J154" s="408">
        <f t="shared" si="121"/>
        <v>6.75364445546737</v>
      </c>
      <c r="K154" s="408">
        <f t="shared" si="132"/>
        <v>17.876822227733683</v>
      </c>
      <c r="L154" s="408">
        <f t="shared" si="98"/>
        <v>11.123177772266315</v>
      </c>
      <c r="M154" s="63">
        <f t="shared" si="122"/>
        <v>0</v>
      </c>
      <c r="N154" s="407">
        <f t="shared" si="99"/>
        <v>14.630481062468135</v>
      </c>
      <c r="O154" s="407">
        <f t="shared" si="100"/>
        <v>1.1704710706751305</v>
      </c>
      <c r="P154">
        <f t="shared" si="123"/>
        <v>0.2</v>
      </c>
      <c r="Q154" s="407">
        <f t="shared" si="133"/>
        <v>1.3704710706751304</v>
      </c>
      <c r="R154" s="9">
        <f t="shared" si="101"/>
        <v>1.9496092221875549</v>
      </c>
      <c r="S154" s="9">
        <f t="shared" si="102"/>
        <v>3.8009761192387627E-3</v>
      </c>
      <c r="T154" s="9">
        <f t="shared" si="103"/>
        <v>3.8009761192387627E-3</v>
      </c>
      <c r="U154" s="407">
        <f t="shared" si="104"/>
        <v>9.3621833503882357</v>
      </c>
      <c r="V154" s="409">
        <f t="shared" si="105"/>
        <v>0.17530095417257338</v>
      </c>
      <c r="W154" s="407">
        <f t="shared" si="106"/>
        <v>0.17530095417257338</v>
      </c>
      <c r="X154" s="407">
        <f t="shared" si="107"/>
        <v>9.3621833503882357</v>
      </c>
      <c r="Y154" s="407">
        <f t="shared" si="108"/>
        <v>0.52590286251772012</v>
      </c>
      <c r="Z154" s="407">
        <f t="shared" si="124"/>
        <v>0.14623019231727236</v>
      </c>
      <c r="AA154" s="407">
        <f t="shared" si="125"/>
        <v>6.4512E-2</v>
      </c>
      <c r="AB154" s="407">
        <f t="shared" si="126"/>
        <v>0</v>
      </c>
      <c r="AC154" s="407">
        <f t="shared" si="109"/>
        <v>0.82323319342316137</v>
      </c>
      <c r="AD154" s="407">
        <f t="shared" si="110"/>
        <v>11.242797651516817</v>
      </c>
      <c r="AE154" s="407">
        <f t="shared" si="111"/>
        <v>0.7584029941977124</v>
      </c>
      <c r="AF154" s="407">
        <f t="shared" si="127"/>
        <v>0.20044799999999999</v>
      </c>
      <c r="AG154" s="407">
        <f t="shared" si="112"/>
        <v>1.1302947838821713</v>
      </c>
      <c r="AH154" s="407">
        <f t="shared" si="113"/>
        <v>0</v>
      </c>
      <c r="AI154">
        <f t="shared" si="128"/>
        <v>0</v>
      </c>
      <c r="AJ154" s="408">
        <f t="shared" si="129"/>
        <v>0.201809664</v>
      </c>
      <c r="AK154">
        <f t="shared" si="134"/>
        <v>2.52E-2</v>
      </c>
      <c r="AL154" s="408">
        <f t="shared" si="130"/>
        <v>4.4160000000000005E-2</v>
      </c>
      <c r="AM154" s="408">
        <f t="shared" si="135"/>
        <v>4.9347355729984298E-2</v>
      </c>
      <c r="AN154" s="408">
        <f t="shared" si="114"/>
        <v>6.9360000000000005E-2</v>
      </c>
      <c r="AO154" s="408">
        <f t="shared" si="115"/>
        <v>3.7742706422722749</v>
      </c>
      <c r="AP154">
        <f t="shared" si="131"/>
        <v>72.5</v>
      </c>
      <c r="AQ154" s="10">
        <f t="shared" si="116"/>
        <v>0.95051711920034387</v>
      </c>
      <c r="AR154" s="63">
        <f t="shared" si="117"/>
        <v>41.16165967115807</v>
      </c>
      <c r="AS154" s="63">
        <f t="shared" si="118"/>
        <v>56.514739194108564</v>
      </c>
      <c r="AT154" s="10"/>
      <c r="AU154">
        <f t="shared" si="119"/>
        <v>95.051711920034393</v>
      </c>
    </row>
    <row r="155" spans="7:47" x14ac:dyDescent="0.2">
      <c r="G155">
        <v>146</v>
      </c>
      <c r="H155">
        <f t="shared" si="120"/>
        <v>14.6</v>
      </c>
      <c r="I155" s="407">
        <f t="shared" si="97"/>
        <v>0.40957142857142864</v>
      </c>
      <c r="J155" s="408">
        <f t="shared" si="121"/>
        <v>6.7550843253968251</v>
      </c>
      <c r="K155" s="408">
        <f t="shared" si="132"/>
        <v>17.977542162698413</v>
      </c>
      <c r="L155" s="408">
        <f t="shared" si="98"/>
        <v>11.222457837301587</v>
      </c>
      <c r="M155" s="63">
        <f t="shared" si="122"/>
        <v>0</v>
      </c>
      <c r="N155" s="407">
        <f t="shared" si="99"/>
        <v>14.729650268090838</v>
      </c>
      <c r="O155" s="407">
        <f t="shared" si="100"/>
        <v>1.1879054014681132</v>
      </c>
      <c r="P155">
        <f t="shared" si="123"/>
        <v>0.2</v>
      </c>
      <c r="Q155" s="407">
        <f t="shared" si="133"/>
        <v>1.3879054014681131</v>
      </c>
      <c r="R155" s="9">
        <f t="shared" si="101"/>
        <v>1.9500248768332393</v>
      </c>
      <c r="S155" s="9">
        <f t="shared" si="102"/>
        <v>3.80259702026849E-3</v>
      </c>
      <c r="T155" s="9">
        <f t="shared" si="103"/>
        <v>3.80259702026849E-3</v>
      </c>
      <c r="U155" s="407">
        <f t="shared" si="104"/>
        <v>9.4266473790080081</v>
      </c>
      <c r="V155" s="409">
        <f t="shared" si="105"/>
        <v>0.1777233616163171</v>
      </c>
      <c r="W155" s="407">
        <f t="shared" si="106"/>
        <v>0.1777233616163171</v>
      </c>
      <c r="X155" s="407">
        <f t="shared" si="107"/>
        <v>9.4266473790080081</v>
      </c>
      <c r="Y155" s="407">
        <f t="shared" si="108"/>
        <v>0.53317008484895134</v>
      </c>
      <c r="Z155" s="407">
        <f t="shared" si="124"/>
        <v>0.14721788567073169</v>
      </c>
      <c r="AA155" s="407">
        <f t="shared" si="125"/>
        <v>6.4512E-2</v>
      </c>
      <c r="AB155" s="407">
        <f t="shared" si="126"/>
        <v>0</v>
      </c>
      <c r="AC155" s="407">
        <f t="shared" si="109"/>
        <v>0.83381277625218664</v>
      </c>
      <c r="AD155" s="407">
        <f t="shared" si="110"/>
        <v>11.318167528893973</v>
      </c>
      <c r="AE155" s="407">
        <f t="shared" si="111"/>
        <v>0.76860549727265937</v>
      </c>
      <c r="AF155" s="407">
        <f t="shared" si="127"/>
        <v>0.20183039999999999</v>
      </c>
      <c r="AG155" s="407">
        <f t="shared" si="112"/>
        <v>1.1467093137347109</v>
      </c>
      <c r="AH155" s="407">
        <f t="shared" si="113"/>
        <v>0</v>
      </c>
      <c r="AI155">
        <f t="shared" si="128"/>
        <v>0</v>
      </c>
      <c r="AJ155" s="408">
        <f t="shared" si="129"/>
        <v>0.2017999872</v>
      </c>
      <c r="AK155">
        <f t="shared" si="134"/>
        <v>2.52E-2</v>
      </c>
      <c r="AL155" s="408">
        <f t="shared" si="130"/>
        <v>4.4160000000000005E-2</v>
      </c>
      <c r="AM155" s="408">
        <f t="shared" si="135"/>
        <v>4.9347355729984298E-2</v>
      </c>
      <c r="AN155" s="408">
        <f t="shared" si="114"/>
        <v>6.9360000000000005E-2</v>
      </c>
      <c r="AO155" s="408">
        <f t="shared" si="115"/>
        <v>3.8211134372915958</v>
      </c>
      <c r="AP155">
        <f t="shared" si="131"/>
        <v>73</v>
      </c>
      <c r="AQ155" s="10">
        <f t="shared" si="116"/>
        <v>0.95025959314673636</v>
      </c>
      <c r="AR155" s="63">
        <f t="shared" si="117"/>
        <v>41.690638812609329</v>
      </c>
      <c r="AS155" s="63">
        <f t="shared" si="118"/>
        <v>57.335465686735546</v>
      </c>
      <c r="AT155" s="10"/>
      <c r="AU155">
        <f t="shared" si="119"/>
        <v>95.025959314673642</v>
      </c>
    </row>
    <row r="156" spans="7:47" x14ac:dyDescent="0.2">
      <c r="G156">
        <v>147</v>
      </c>
      <c r="H156">
        <f t="shared" si="120"/>
        <v>14.7</v>
      </c>
      <c r="I156" s="407">
        <f t="shared" si="97"/>
        <v>0.40965873015873017</v>
      </c>
      <c r="J156" s="408">
        <f t="shared" si="121"/>
        <v>6.7565241953262776</v>
      </c>
      <c r="K156" s="408">
        <f t="shared" si="132"/>
        <v>18.078262097663139</v>
      </c>
      <c r="L156" s="408">
        <f t="shared" si="98"/>
        <v>11.32173790233686</v>
      </c>
      <c r="M156" s="63">
        <f t="shared" si="122"/>
        <v>0</v>
      </c>
      <c r="N156" s="407">
        <f t="shared" si="99"/>
        <v>14.828830643946128</v>
      </c>
      <c r="O156" s="407">
        <f t="shared" si="100"/>
        <v>1.2055044771853127</v>
      </c>
      <c r="P156">
        <f t="shared" si="123"/>
        <v>0.2</v>
      </c>
      <c r="Q156" s="407">
        <f t="shared" si="133"/>
        <v>1.4055044771853127</v>
      </c>
      <c r="R156" s="9">
        <f t="shared" si="101"/>
        <v>1.950440531478923</v>
      </c>
      <c r="S156" s="9">
        <f t="shared" si="102"/>
        <v>3.8042182668357838E-3</v>
      </c>
      <c r="T156" s="9">
        <f t="shared" si="103"/>
        <v>3.8042182668357838E-3</v>
      </c>
      <c r="U156" s="407">
        <f t="shared" si="104"/>
        <v>9.4911319780328931</v>
      </c>
      <c r="V156" s="409">
        <f t="shared" si="105"/>
        <v>0.18016317244887717</v>
      </c>
      <c r="W156" s="407">
        <f t="shared" si="106"/>
        <v>0.18016317244887717</v>
      </c>
      <c r="X156" s="407">
        <f t="shared" si="107"/>
        <v>9.4911319780328931</v>
      </c>
      <c r="Y156" s="407">
        <f t="shared" si="108"/>
        <v>0.54048951734663153</v>
      </c>
      <c r="Z156" s="407">
        <f t="shared" si="124"/>
        <v>0.14820557902419093</v>
      </c>
      <c r="AA156" s="407">
        <f t="shared" si="125"/>
        <v>6.4512E-2</v>
      </c>
      <c r="AB156" s="407">
        <f t="shared" si="126"/>
        <v>0</v>
      </c>
      <c r="AC156" s="407">
        <f t="shared" si="109"/>
        <v>0.84449526388675622</v>
      </c>
      <c r="AD156" s="407">
        <f t="shared" si="110"/>
        <v>11.393534659726857</v>
      </c>
      <c r="AE156" s="407">
        <f t="shared" si="111"/>
        <v>0.77887579225438308</v>
      </c>
      <c r="AF156" s="407">
        <f t="shared" si="127"/>
        <v>0.20321279999999997</v>
      </c>
      <c r="AG156" s="407">
        <f t="shared" si="112"/>
        <v>1.1633021725021553</v>
      </c>
      <c r="AH156" s="407">
        <f t="shared" si="113"/>
        <v>0</v>
      </c>
      <c r="AI156">
        <f t="shared" si="128"/>
        <v>0</v>
      </c>
      <c r="AJ156" s="408">
        <f t="shared" si="129"/>
        <v>0.20179031039999998</v>
      </c>
      <c r="AK156">
        <f t="shared" si="134"/>
        <v>2.52E-2</v>
      </c>
      <c r="AL156" s="408">
        <f t="shared" si="130"/>
        <v>4.4160000000000005E-2</v>
      </c>
      <c r="AM156" s="408">
        <f t="shared" si="135"/>
        <v>4.9347355729984298E-2</v>
      </c>
      <c r="AN156" s="408">
        <f t="shared" si="114"/>
        <v>6.9360000000000005E-2</v>
      </c>
      <c r="AO156" s="408">
        <f t="shared" si="115"/>
        <v>3.868419614689937</v>
      </c>
      <c r="AP156">
        <f t="shared" si="131"/>
        <v>73.5</v>
      </c>
      <c r="AQ156" s="10">
        <f t="shared" si="116"/>
        <v>0.95000001765635855</v>
      </c>
      <c r="AR156" s="63">
        <f t="shared" si="117"/>
        <v>42.224763194337811</v>
      </c>
      <c r="AS156" s="63">
        <f t="shared" si="118"/>
        <v>58.165108625107763</v>
      </c>
      <c r="AT156" s="10"/>
      <c r="AU156">
        <f t="shared" si="119"/>
        <v>95.000001765635858</v>
      </c>
    </row>
    <row r="157" spans="7:47" x14ac:dyDescent="0.2">
      <c r="G157">
        <v>148</v>
      </c>
      <c r="H157">
        <f t="shared" si="120"/>
        <v>14.8</v>
      </c>
      <c r="I157" s="407">
        <f t="shared" si="97"/>
        <v>0.40974603174603175</v>
      </c>
      <c r="J157" s="408">
        <f t="shared" si="121"/>
        <v>6.7579640652557309</v>
      </c>
      <c r="K157" s="408">
        <f t="shared" si="132"/>
        <v>18.178982032627864</v>
      </c>
      <c r="L157" s="408">
        <f t="shared" si="98"/>
        <v>11.421017967372135</v>
      </c>
      <c r="M157" s="63">
        <f t="shared" si="122"/>
        <v>0</v>
      </c>
      <c r="N157" s="407">
        <f t="shared" si="99"/>
        <v>14.928021967392086</v>
      </c>
      <c r="O157" s="407">
        <f t="shared" si="100"/>
        <v>1.2232693978277713</v>
      </c>
      <c r="P157">
        <f t="shared" si="123"/>
        <v>0.2</v>
      </c>
      <c r="Q157" s="407">
        <f t="shared" si="133"/>
        <v>1.4232693978277713</v>
      </c>
      <c r="R157" s="9">
        <f t="shared" si="101"/>
        <v>1.950856186124607</v>
      </c>
      <c r="S157" s="9">
        <f t="shared" si="102"/>
        <v>3.8058398589406474E-3</v>
      </c>
      <c r="T157" s="9">
        <f t="shared" si="103"/>
        <v>3.8058398589406474E-3</v>
      </c>
      <c r="U157" s="407">
        <f t="shared" si="104"/>
        <v>9.5556370051039821</v>
      </c>
      <c r="V157" s="409">
        <f t="shared" si="105"/>
        <v>0.1826203971466252</v>
      </c>
      <c r="W157" s="407">
        <f t="shared" si="106"/>
        <v>0.1826203971466252</v>
      </c>
      <c r="X157" s="407">
        <f t="shared" si="107"/>
        <v>9.5556370051039821</v>
      </c>
      <c r="Y157" s="407">
        <f t="shared" si="108"/>
        <v>0.54786119143987566</v>
      </c>
      <c r="Z157" s="407">
        <f t="shared" si="124"/>
        <v>0.1491932723776502</v>
      </c>
      <c r="AA157" s="407">
        <f t="shared" si="125"/>
        <v>6.4512E-2</v>
      </c>
      <c r="AB157" s="407">
        <f t="shared" si="126"/>
        <v>0</v>
      </c>
      <c r="AC157" s="407">
        <f t="shared" si="109"/>
        <v>0.85528158101591822</v>
      </c>
      <c r="AD157" s="407">
        <f t="shared" si="110"/>
        <v>11.468898869796876</v>
      </c>
      <c r="AE157" s="407">
        <f t="shared" si="111"/>
        <v>0.78921384771376835</v>
      </c>
      <c r="AF157" s="407">
        <f t="shared" si="127"/>
        <v>0.2045952</v>
      </c>
      <c r="AG157" s="407">
        <f t="shared" si="112"/>
        <v>1.1800754203276069</v>
      </c>
      <c r="AH157" s="407">
        <f t="shared" si="113"/>
        <v>0</v>
      </c>
      <c r="AI157">
        <f t="shared" si="128"/>
        <v>0</v>
      </c>
      <c r="AJ157" s="408">
        <f t="shared" si="129"/>
        <v>0.20178063359999998</v>
      </c>
      <c r="AK157">
        <f t="shared" si="134"/>
        <v>2.52E-2</v>
      </c>
      <c r="AL157" s="408">
        <f t="shared" si="130"/>
        <v>4.4160000000000005E-2</v>
      </c>
      <c r="AM157" s="408">
        <f t="shared" si="135"/>
        <v>4.9347355729984298E-2</v>
      </c>
      <c r="AN157" s="408">
        <f t="shared" si="114"/>
        <v>6.9360000000000005E-2</v>
      </c>
      <c r="AO157" s="408">
        <f t="shared" si="115"/>
        <v>3.916193269776862</v>
      </c>
      <c r="AP157">
        <f t="shared" si="131"/>
        <v>74</v>
      </c>
      <c r="AQ157" s="10">
        <f t="shared" si="116"/>
        <v>0.94973839062930798</v>
      </c>
      <c r="AR157" s="63">
        <f t="shared" si="117"/>
        <v>42.764079050795914</v>
      </c>
      <c r="AS157" s="63">
        <f t="shared" si="118"/>
        <v>59.003771016380348</v>
      </c>
      <c r="AT157" s="10"/>
      <c r="AU157">
        <f t="shared" si="119"/>
        <v>94.973839062930793</v>
      </c>
    </row>
    <row r="158" spans="7:47" x14ac:dyDescent="0.2">
      <c r="G158">
        <v>149</v>
      </c>
      <c r="H158">
        <f t="shared" si="120"/>
        <v>14.9</v>
      </c>
      <c r="I158" s="407">
        <f t="shared" si="97"/>
        <v>0.40983333333333333</v>
      </c>
      <c r="J158" s="408">
        <f t="shared" si="121"/>
        <v>6.7594039351851842</v>
      </c>
      <c r="K158" s="408">
        <f t="shared" si="132"/>
        <v>18.279701967592594</v>
      </c>
      <c r="L158" s="408">
        <f t="shared" si="98"/>
        <v>11.520298032407409</v>
      </c>
      <c r="M158" s="63">
        <f t="shared" si="122"/>
        <v>0</v>
      </c>
      <c r="N158" s="407">
        <f t="shared" si="99"/>
        <v>15.02722402164096</v>
      </c>
      <c r="O158" s="407">
        <f t="shared" si="100"/>
        <v>1.2412012778390298</v>
      </c>
      <c r="P158">
        <f t="shared" si="123"/>
        <v>0.2</v>
      </c>
      <c r="Q158" s="407">
        <f t="shared" si="133"/>
        <v>1.4412012778390297</v>
      </c>
      <c r="R158" s="9">
        <f t="shared" si="101"/>
        <v>1.9512718407702909</v>
      </c>
      <c r="S158" s="9">
        <f t="shared" si="102"/>
        <v>3.8074617965830797E-3</v>
      </c>
      <c r="T158" s="9">
        <f t="shared" si="103"/>
        <v>3.8074617965830797E-3</v>
      </c>
      <c r="U158" s="407">
        <f t="shared" si="104"/>
        <v>9.6201623215497918</v>
      </c>
      <c r="V158" s="409">
        <f t="shared" si="105"/>
        <v>0.18509504618593256</v>
      </c>
      <c r="W158" s="407">
        <f t="shared" si="106"/>
        <v>0.18509504618593256</v>
      </c>
      <c r="X158" s="407">
        <f t="shared" si="107"/>
        <v>9.6201623215497918</v>
      </c>
      <c r="Y158" s="407">
        <f t="shared" si="108"/>
        <v>0.5552851385577976</v>
      </c>
      <c r="Z158" s="407">
        <f t="shared" si="124"/>
        <v>0.15018096573110951</v>
      </c>
      <c r="AA158" s="407">
        <f t="shared" si="125"/>
        <v>6.4512E-2</v>
      </c>
      <c r="AB158" s="407">
        <f t="shared" si="126"/>
        <v>0</v>
      </c>
      <c r="AC158" s="407">
        <f t="shared" si="109"/>
        <v>0.86617266606734356</v>
      </c>
      <c r="AD158" s="407">
        <f t="shared" si="110"/>
        <v>11.544259989432705</v>
      </c>
      <c r="AE158" s="407">
        <f t="shared" si="111"/>
        <v>0.79961963222170074</v>
      </c>
      <c r="AF158" s="407">
        <f t="shared" si="127"/>
        <v>0.20597760000000001</v>
      </c>
      <c r="AG158" s="407">
        <f t="shared" si="112"/>
        <v>1.1970311545304049</v>
      </c>
      <c r="AH158" s="407">
        <f t="shared" si="113"/>
        <v>0</v>
      </c>
      <c r="AI158">
        <f t="shared" si="128"/>
        <v>0</v>
      </c>
      <c r="AJ158" s="408">
        <f t="shared" si="129"/>
        <v>0.20177095680000001</v>
      </c>
      <c r="AK158">
        <f t="shared" si="134"/>
        <v>2.52E-2</v>
      </c>
      <c r="AL158" s="408">
        <f t="shared" si="130"/>
        <v>4.4160000000000005E-2</v>
      </c>
      <c r="AM158" s="408">
        <f t="shared" si="135"/>
        <v>4.9347355729984298E-2</v>
      </c>
      <c r="AN158" s="408">
        <f t="shared" si="114"/>
        <v>6.9360000000000005E-2</v>
      </c>
      <c r="AO158" s="408">
        <f t="shared" si="115"/>
        <v>3.9644385632192938</v>
      </c>
      <c r="AP158">
        <f t="shared" si="131"/>
        <v>74.5</v>
      </c>
      <c r="AQ158" s="10">
        <f t="shared" si="116"/>
        <v>0.94947470936116984</v>
      </c>
      <c r="AR158" s="63">
        <f t="shared" si="117"/>
        <v>43.308633303367181</v>
      </c>
      <c r="AS158" s="63">
        <f t="shared" si="118"/>
        <v>59.851557726520241</v>
      </c>
      <c r="AT158" s="10"/>
      <c r="AU158">
        <f t="shared" si="119"/>
        <v>94.947470936116986</v>
      </c>
    </row>
    <row r="159" spans="7:47" x14ac:dyDescent="0.2">
      <c r="G159">
        <v>150</v>
      </c>
      <c r="H159">
        <f t="shared" si="120"/>
        <v>15</v>
      </c>
      <c r="I159" s="407">
        <f t="shared" si="97"/>
        <v>0.40992063492063491</v>
      </c>
      <c r="J159" s="408">
        <f t="shared" si="121"/>
        <v>6.7608438051146376</v>
      </c>
      <c r="K159" s="408">
        <f t="shared" si="132"/>
        <v>18.38042190255732</v>
      </c>
      <c r="L159" s="408">
        <f t="shared" si="98"/>
        <v>11.61957809744268</v>
      </c>
      <c r="M159" s="63">
        <f t="shared" si="122"/>
        <v>0</v>
      </c>
      <c r="N159" s="407">
        <f t="shared" si="99"/>
        <v>15.126436595568801</v>
      </c>
      <c r="O159" s="407">
        <f t="shared" si="100"/>
        <v>1.259301246297114</v>
      </c>
      <c r="P159">
        <f t="shared" si="123"/>
        <v>0.2</v>
      </c>
      <c r="Q159" s="407">
        <f t="shared" si="133"/>
        <v>1.459301246297114</v>
      </c>
      <c r="R159" s="9">
        <f t="shared" si="101"/>
        <v>1.9516874954159751</v>
      </c>
      <c r="S159" s="9">
        <f t="shared" si="102"/>
        <v>3.8090840797630819E-3</v>
      </c>
      <c r="T159" s="9">
        <f t="shared" si="103"/>
        <v>3.8090840797630819E-3</v>
      </c>
      <c r="U159" s="407">
        <f t="shared" si="104"/>
        <v>9.6847077922663942</v>
      </c>
      <c r="V159" s="409">
        <f t="shared" si="105"/>
        <v>0.18758713004317085</v>
      </c>
      <c r="W159" s="407">
        <f t="shared" si="106"/>
        <v>0.18758713004317085</v>
      </c>
      <c r="X159" s="407">
        <f t="shared" si="107"/>
        <v>9.6847077922663942</v>
      </c>
      <c r="Y159" s="407">
        <f t="shared" si="108"/>
        <v>0.56276139012951254</v>
      </c>
      <c r="Z159" s="407">
        <f t="shared" si="124"/>
        <v>0.15116865908456875</v>
      </c>
      <c r="AA159" s="407">
        <f t="shared" si="125"/>
        <v>6.4512E-2</v>
      </c>
      <c r="AB159" s="407">
        <f t="shared" si="126"/>
        <v>0</v>
      </c>
      <c r="AC159" s="407">
        <f t="shared" si="109"/>
        <v>0.87716947143935786</v>
      </c>
      <c r="AD159" s="407">
        <f t="shared" si="110"/>
        <v>11.619617853362376</v>
      </c>
      <c r="AE159" s="407">
        <f t="shared" si="111"/>
        <v>0.81009311434906617</v>
      </c>
      <c r="AF159" s="407">
        <f t="shared" si="127"/>
        <v>0.20735999999999999</v>
      </c>
      <c r="AG159" s="407">
        <f t="shared" si="112"/>
        <v>1.2141715103902568</v>
      </c>
      <c r="AH159" s="407">
        <f t="shared" si="113"/>
        <v>0</v>
      </c>
      <c r="AI159">
        <f t="shared" si="128"/>
        <v>0</v>
      </c>
      <c r="AJ159" s="408">
        <f t="shared" si="129"/>
        <v>0.20176127999999999</v>
      </c>
      <c r="AK159">
        <f t="shared" si="134"/>
        <v>2.52E-2</v>
      </c>
      <c r="AL159" s="408">
        <f t="shared" si="130"/>
        <v>4.4160000000000005E-2</v>
      </c>
      <c r="AM159" s="408">
        <f t="shared" si="135"/>
        <v>4.9347355729984298E-2</v>
      </c>
      <c r="AN159" s="408">
        <f t="shared" si="114"/>
        <v>6.9360000000000005E-2</v>
      </c>
      <c r="AO159" s="408">
        <f t="shared" si="115"/>
        <v>4.0131597222496627</v>
      </c>
      <c r="AP159">
        <f t="shared" si="131"/>
        <v>75</v>
      </c>
      <c r="AQ159" s="10">
        <f t="shared" si="116"/>
        <v>0.94920897055178033</v>
      </c>
      <c r="AR159" s="63">
        <f t="shared" si="117"/>
        <v>43.858473571967892</v>
      </c>
      <c r="AS159" s="63">
        <f t="shared" si="118"/>
        <v>60.708575519512841</v>
      </c>
      <c r="AT159" s="10"/>
      <c r="AU159">
        <f t="shared" si="119"/>
        <v>94.920897055178031</v>
      </c>
    </row>
    <row r="160" spans="7:47" x14ac:dyDescent="0.2">
      <c r="G160">
        <v>151</v>
      </c>
      <c r="H160">
        <f t="shared" si="120"/>
        <v>15.1</v>
      </c>
      <c r="I160" s="407">
        <f t="shared" si="97"/>
        <v>0.41000793650793654</v>
      </c>
      <c r="J160" s="408">
        <f t="shared" si="121"/>
        <v>6.7622836750440918</v>
      </c>
      <c r="K160" s="408">
        <f t="shared" si="132"/>
        <v>18.481141837522046</v>
      </c>
      <c r="L160" s="408">
        <f t="shared" si="98"/>
        <v>11.718858162477954</v>
      </c>
      <c r="M160" s="63">
        <f t="shared" si="122"/>
        <v>0</v>
      </c>
      <c r="N160" s="407">
        <f t="shared" si="99"/>
        <v>15.225659483532418</v>
      </c>
      <c r="O160" s="407">
        <f t="shared" si="100"/>
        <v>1.277570447109964</v>
      </c>
      <c r="P160">
        <f t="shared" si="123"/>
        <v>0.2</v>
      </c>
      <c r="Q160" s="407">
        <f t="shared" si="133"/>
        <v>1.477570447109964</v>
      </c>
      <c r="R160" s="9">
        <f t="shared" si="101"/>
        <v>1.9521031500616592</v>
      </c>
      <c r="S160" s="9">
        <f t="shared" si="102"/>
        <v>3.8107067084806531E-3</v>
      </c>
      <c r="T160" s="9">
        <f t="shared" si="103"/>
        <v>3.8107067084806531E-3</v>
      </c>
      <c r="U160" s="407">
        <f t="shared" si="104"/>
        <v>9.7492732856021487</v>
      </c>
      <c r="V160" s="409">
        <f t="shared" si="105"/>
        <v>0.19009665919471144</v>
      </c>
      <c r="W160" s="407">
        <f t="shared" si="106"/>
        <v>0.19009665919471144</v>
      </c>
      <c r="X160" s="407">
        <f t="shared" si="107"/>
        <v>9.7492732856021487</v>
      </c>
      <c r="Y160" s="407">
        <f t="shared" si="108"/>
        <v>0.57028997758413436</v>
      </c>
      <c r="Z160" s="407">
        <f t="shared" si="124"/>
        <v>0.152156352438028</v>
      </c>
      <c r="AA160" s="407">
        <f t="shared" si="125"/>
        <v>6.4512E-2</v>
      </c>
      <c r="AB160" s="407">
        <f t="shared" si="126"/>
        <v>0</v>
      </c>
      <c r="AC160" s="407">
        <f t="shared" si="109"/>
        <v>0.88827296373789799</v>
      </c>
      <c r="AD160" s="407">
        <f t="shared" si="110"/>
        <v>11.694972300571084</v>
      </c>
      <c r="AE160" s="407">
        <f t="shared" si="111"/>
        <v>0.82063426266674944</v>
      </c>
      <c r="AF160" s="407">
        <f t="shared" si="127"/>
        <v>0.20874239999999999</v>
      </c>
      <c r="AG160" s="407">
        <f t="shared" si="112"/>
        <v>1.2314986619519559</v>
      </c>
      <c r="AH160" s="407">
        <f t="shared" si="113"/>
        <v>0</v>
      </c>
      <c r="AI160">
        <f t="shared" si="128"/>
        <v>0</v>
      </c>
      <c r="AJ160" s="408">
        <f t="shared" si="129"/>
        <v>0.20175160319999999</v>
      </c>
      <c r="AK160">
        <f t="shared" si="134"/>
        <v>2.52E-2</v>
      </c>
      <c r="AL160" s="408">
        <f t="shared" si="130"/>
        <v>4.4160000000000005E-2</v>
      </c>
      <c r="AM160" s="408">
        <f t="shared" si="135"/>
        <v>4.9347355729984298E-2</v>
      </c>
      <c r="AN160" s="408">
        <f t="shared" si="114"/>
        <v>6.9360000000000005E-2</v>
      </c>
      <c r="AO160" s="408">
        <f t="shared" si="115"/>
        <v>4.0623610419030101</v>
      </c>
      <c r="AP160">
        <f t="shared" si="131"/>
        <v>75.5</v>
      </c>
      <c r="AQ160" s="10">
        <f t="shared" si="116"/>
        <v>0.94894117031339109</v>
      </c>
      <c r="AR160" s="63">
        <f t="shared" si="117"/>
        <v>44.413648186894896</v>
      </c>
      <c r="AS160" s="63">
        <f t="shared" si="118"/>
        <v>61.574933097597793</v>
      </c>
      <c r="AT160" s="10"/>
      <c r="AU160">
        <f t="shared" si="119"/>
        <v>94.894117031339107</v>
      </c>
    </row>
    <row r="161" spans="7:47" x14ac:dyDescent="0.2">
      <c r="G161">
        <v>152</v>
      </c>
      <c r="H161">
        <f t="shared" si="120"/>
        <v>15.2</v>
      </c>
      <c r="I161" s="407">
        <f t="shared" si="97"/>
        <v>0.41009523809523807</v>
      </c>
      <c r="J161" s="408">
        <f t="shared" si="121"/>
        <v>6.7637235449735433</v>
      </c>
      <c r="K161" s="408">
        <f t="shared" si="132"/>
        <v>18.581861772486771</v>
      </c>
      <c r="L161" s="408">
        <f t="shared" si="98"/>
        <v>11.818138227513227</v>
      </c>
      <c r="M161" s="63">
        <f t="shared" si="122"/>
        <v>0</v>
      </c>
      <c r="N161" s="407">
        <f t="shared" si="99"/>
        <v>15.324892485193356</v>
      </c>
      <c r="O161" s="407">
        <f t="shared" si="100"/>
        <v>1.2960100392143616</v>
      </c>
      <c r="P161">
        <f t="shared" si="123"/>
        <v>0.2</v>
      </c>
      <c r="Q161" s="407">
        <f t="shared" si="133"/>
        <v>1.4960100392143616</v>
      </c>
      <c r="R161" s="9">
        <f t="shared" si="101"/>
        <v>1.9525188047073427</v>
      </c>
      <c r="S161" s="9">
        <f t="shared" si="102"/>
        <v>3.8123296827357904E-3</v>
      </c>
      <c r="T161" s="9">
        <f t="shared" si="103"/>
        <v>3.8123296827357904E-3</v>
      </c>
      <c r="U161" s="407">
        <f t="shared" si="104"/>
        <v>9.8138586732468731</v>
      </c>
      <c r="V161" s="409">
        <f t="shared" si="105"/>
        <v>0.19262364411692576</v>
      </c>
      <c r="W161" s="407">
        <f t="shared" si="106"/>
        <v>0.19262364411692576</v>
      </c>
      <c r="X161" s="407">
        <f t="shared" si="107"/>
        <v>9.8138586732468731</v>
      </c>
      <c r="Y161" s="407">
        <f t="shared" si="108"/>
        <v>0.57787093235077724</v>
      </c>
      <c r="Z161" s="407">
        <f t="shared" si="124"/>
        <v>0.15314404579148727</v>
      </c>
      <c r="AA161" s="407">
        <f t="shared" si="125"/>
        <v>6.4512E-2</v>
      </c>
      <c r="AB161" s="407">
        <f t="shared" si="126"/>
        <v>0</v>
      </c>
      <c r="AC161" s="407">
        <f t="shared" si="109"/>
        <v>0.89948412401852607</v>
      </c>
      <c r="AD161" s="407">
        <f t="shared" si="110"/>
        <v>11.770323174164458</v>
      </c>
      <c r="AE161" s="407">
        <f t="shared" si="111"/>
        <v>0.83124304574563734</v>
      </c>
      <c r="AF161" s="407">
        <f t="shared" si="127"/>
        <v>0.21012479999999997</v>
      </c>
      <c r="AG161" s="407">
        <f t="shared" si="112"/>
        <v>1.2490148228513118</v>
      </c>
      <c r="AH161" s="407">
        <f t="shared" si="113"/>
        <v>0</v>
      </c>
      <c r="AI161">
        <f t="shared" si="128"/>
        <v>0</v>
      </c>
      <c r="AJ161" s="408">
        <f t="shared" si="129"/>
        <v>0.20174192639999999</v>
      </c>
      <c r="AK161">
        <f t="shared" si="134"/>
        <v>2.52E-2</v>
      </c>
      <c r="AL161" s="408">
        <f t="shared" si="130"/>
        <v>4.4160000000000005E-2</v>
      </c>
      <c r="AM161" s="408">
        <f t="shared" si="135"/>
        <v>4.9347355729984298E-2</v>
      </c>
      <c r="AN161" s="408">
        <f t="shared" si="114"/>
        <v>6.9360000000000005E-2</v>
      </c>
      <c r="AO161" s="408">
        <f t="shared" si="115"/>
        <v>4.1120468862838608</v>
      </c>
      <c r="AP161">
        <f t="shared" si="131"/>
        <v>76</v>
      </c>
      <c r="AQ161" s="10">
        <f t="shared" si="116"/>
        <v>0.94867130417824974</v>
      </c>
      <c r="AR161" s="63">
        <f t="shared" si="117"/>
        <v>44.974206200926304</v>
      </c>
      <c r="AS161" s="63">
        <f t="shared" si="118"/>
        <v>62.45074114256559</v>
      </c>
      <c r="AT161" s="10"/>
      <c r="AU161">
        <f t="shared" si="119"/>
        <v>94.867130417824967</v>
      </c>
    </row>
    <row r="162" spans="7:47" x14ac:dyDescent="0.2">
      <c r="G162">
        <v>153</v>
      </c>
      <c r="H162">
        <f t="shared" si="120"/>
        <v>15.3</v>
      </c>
      <c r="I162" s="407">
        <f t="shared" si="97"/>
        <v>0.4101825396825397</v>
      </c>
      <c r="J162" s="408">
        <f t="shared" si="121"/>
        <v>6.7651634149029976</v>
      </c>
      <c r="K162" s="408">
        <f t="shared" si="132"/>
        <v>18.682581707451501</v>
      </c>
      <c r="L162" s="408">
        <f t="shared" si="98"/>
        <v>11.917418292548502</v>
      </c>
      <c r="M162" s="63">
        <f t="shared" si="122"/>
        <v>0</v>
      </c>
      <c r="N162" s="407">
        <f t="shared" si="99"/>
        <v>15.424135405348609</v>
      </c>
      <c r="O162" s="407">
        <f t="shared" si="100"/>
        <v>1.3146211967784454</v>
      </c>
      <c r="P162">
        <f t="shared" si="123"/>
        <v>0.2</v>
      </c>
      <c r="Q162" s="407">
        <f t="shared" si="133"/>
        <v>1.5146211967784453</v>
      </c>
      <c r="R162" s="9">
        <f t="shared" si="101"/>
        <v>1.9529344593530269</v>
      </c>
      <c r="S162" s="9">
        <f t="shared" si="102"/>
        <v>3.8139530025284992E-3</v>
      </c>
      <c r="T162" s="9">
        <f t="shared" si="103"/>
        <v>3.8139530025284992E-3</v>
      </c>
      <c r="U162" s="407">
        <f t="shared" si="104"/>
        <v>9.878463830125245</v>
      </c>
      <c r="V162" s="409">
        <f t="shared" si="105"/>
        <v>0.19516809528618548</v>
      </c>
      <c r="W162" s="407">
        <f t="shared" si="106"/>
        <v>0.19516809528618548</v>
      </c>
      <c r="X162" s="407">
        <f t="shared" si="107"/>
        <v>9.878463830125245</v>
      </c>
      <c r="Y162" s="407">
        <f t="shared" si="108"/>
        <v>0.58550428585855641</v>
      </c>
      <c r="Z162" s="407">
        <f t="shared" si="124"/>
        <v>0.15413173914494657</v>
      </c>
      <c r="AA162" s="407">
        <f t="shared" si="125"/>
        <v>6.4512E-2</v>
      </c>
      <c r="AB162" s="407">
        <f t="shared" si="126"/>
        <v>0</v>
      </c>
      <c r="AC162" s="407">
        <f t="shared" si="109"/>
        <v>0.91080394803361842</v>
      </c>
      <c r="AD162" s="407">
        <f t="shared" si="110"/>
        <v>11.84567032123703</v>
      </c>
      <c r="AE162" s="407">
        <f t="shared" si="111"/>
        <v>0.84191943215661491</v>
      </c>
      <c r="AF162" s="407">
        <f t="shared" si="127"/>
        <v>0.21150720000000001</v>
      </c>
      <c r="AG162" s="407">
        <f t="shared" si="112"/>
        <v>1.2667222471629276</v>
      </c>
      <c r="AH162" s="407">
        <f t="shared" si="113"/>
        <v>0</v>
      </c>
      <c r="AI162">
        <f t="shared" si="128"/>
        <v>0</v>
      </c>
      <c r="AJ162" s="408">
        <f t="shared" si="129"/>
        <v>0.2017322496</v>
      </c>
      <c r="AK162">
        <f t="shared" si="134"/>
        <v>2.52E-2</v>
      </c>
      <c r="AL162" s="408">
        <f t="shared" si="130"/>
        <v>4.4160000000000005E-2</v>
      </c>
      <c r="AM162" s="408">
        <f t="shared" si="135"/>
        <v>4.9347355729984298E-2</v>
      </c>
      <c r="AN162" s="408">
        <f t="shared" si="114"/>
        <v>6.9360000000000005E-2</v>
      </c>
      <c r="AO162" s="408">
        <f t="shared" si="115"/>
        <v>4.1622216898637046</v>
      </c>
      <c r="AP162">
        <f t="shared" si="131"/>
        <v>76.5</v>
      </c>
      <c r="AQ162" s="10">
        <f t="shared" si="116"/>
        <v>0.94839936710562067</v>
      </c>
      <c r="AR162" s="63">
        <f t="shared" si="117"/>
        <v>45.540197401680921</v>
      </c>
      <c r="AS162" s="63">
        <f t="shared" si="118"/>
        <v>63.33611235814638</v>
      </c>
      <c r="AT162" s="10"/>
      <c r="AU162">
        <f t="shared" si="119"/>
        <v>94.839936710562071</v>
      </c>
    </row>
    <row r="163" spans="7:47" x14ac:dyDescent="0.2">
      <c r="G163">
        <v>154</v>
      </c>
      <c r="H163">
        <f t="shared" si="120"/>
        <v>15.4</v>
      </c>
      <c r="I163" s="407">
        <f t="shared" si="97"/>
        <v>0.41026984126984123</v>
      </c>
      <c r="J163" s="408">
        <f t="shared" si="121"/>
        <v>6.76660328483245</v>
      </c>
      <c r="K163" s="408">
        <f t="shared" si="132"/>
        <v>18.783301642416227</v>
      </c>
      <c r="L163" s="408">
        <f t="shared" si="98"/>
        <v>12.016698357583776</v>
      </c>
      <c r="M163" s="63">
        <f t="shared" si="122"/>
        <v>0</v>
      </c>
      <c r="N163" s="407">
        <f t="shared" si="99"/>
        <v>15.523388053767734</v>
      </c>
      <c r="O163" s="407">
        <f t="shared" si="100"/>
        <v>1.3334051094078663</v>
      </c>
      <c r="P163">
        <f t="shared" si="123"/>
        <v>0.2</v>
      </c>
      <c r="Q163" s="407">
        <f t="shared" si="133"/>
        <v>1.5334051094078662</v>
      </c>
      <c r="R163" s="9">
        <f t="shared" si="101"/>
        <v>1.9533501139987106</v>
      </c>
      <c r="S163" s="9">
        <f t="shared" si="102"/>
        <v>3.8155766678587759E-3</v>
      </c>
      <c r="T163" s="9">
        <f t="shared" si="103"/>
        <v>3.8155766678587759E-3</v>
      </c>
      <c r="U163" s="407">
        <f t="shared" si="104"/>
        <v>9.9430886342942184</v>
      </c>
      <c r="V163" s="409">
        <f t="shared" si="105"/>
        <v>0.19773002317886174</v>
      </c>
      <c r="W163" s="407">
        <f t="shared" si="106"/>
        <v>0.19773002317886174</v>
      </c>
      <c r="X163" s="407">
        <f t="shared" si="107"/>
        <v>9.9430886342942184</v>
      </c>
      <c r="Y163" s="407">
        <f t="shared" si="108"/>
        <v>0.59319006953658515</v>
      </c>
      <c r="Z163" s="407">
        <f t="shared" si="124"/>
        <v>0.15511943249840582</v>
      </c>
      <c r="AA163" s="407">
        <f t="shared" si="125"/>
        <v>6.4512E-2</v>
      </c>
      <c r="AB163" s="407">
        <f t="shared" si="126"/>
        <v>0</v>
      </c>
      <c r="AC163" s="407">
        <f t="shared" si="109"/>
        <v>0.92223344648485406</v>
      </c>
      <c r="AD163" s="407">
        <f t="shared" si="110"/>
        <v>11.921013592745707</v>
      </c>
      <c r="AE163" s="407">
        <f t="shared" si="111"/>
        <v>0.85266339047056738</v>
      </c>
      <c r="AF163" s="407">
        <f t="shared" si="127"/>
        <v>0.21288960000000001</v>
      </c>
      <c r="AG163" s="407">
        <f t="shared" si="112"/>
        <v>1.2846232302705081</v>
      </c>
      <c r="AH163" s="407">
        <f t="shared" si="113"/>
        <v>0</v>
      </c>
      <c r="AI163">
        <f t="shared" si="128"/>
        <v>0</v>
      </c>
      <c r="AJ163" s="408">
        <f t="shared" si="129"/>
        <v>0.2017225728</v>
      </c>
      <c r="AK163">
        <f t="shared" si="134"/>
        <v>2.52E-2</v>
      </c>
      <c r="AL163" s="408">
        <f t="shared" si="130"/>
        <v>4.4160000000000005E-2</v>
      </c>
      <c r="AM163" s="408">
        <f t="shared" si="135"/>
        <v>4.9347355729984298E-2</v>
      </c>
      <c r="AN163" s="408">
        <f t="shared" si="114"/>
        <v>6.9360000000000005E-2</v>
      </c>
      <c r="AO163" s="408">
        <f t="shared" si="115"/>
        <v>4.2128899588099484</v>
      </c>
      <c r="AP163">
        <f t="shared" si="131"/>
        <v>77</v>
      </c>
      <c r="AQ163" s="10">
        <f t="shared" si="116"/>
        <v>0.94812535348826188</v>
      </c>
      <c r="AR163" s="63">
        <f t="shared" si="117"/>
        <v>46.111672324242704</v>
      </c>
      <c r="AS163" s="63">
        <f t="shared" si="118"/>
        <v>64.231161513525407</v>
      </c>
      <c r="AT163" s="10"/>
      <c r="AU163">
        <f t="shared" si="119"/>
        <v>94.812535348826188</v>
      </c>
    </row>
    <row r="164" spans="7:47" x14ac:dyDescent="0.2">
      <c r="G164">
        <v>155</v>
      </c>
      <c r="H164">
        <f t="shared" si="120"/>
        <v>15.5</v>
      </c>
      <c r="I164" s="407">
        <f t="shared" si="97"/>
        <v>0.41035714285714286</v>
      </c>
      <c r="J164" s="408">
        <f t="shared" si="121"/>
        <v>6.7680431547619042</v>
      </c>
      <c r="K164" s="408">
        <f t="shared" si="132"/>
        <v>18.884021577380953</v>
      </c>
      <c r="L164" s="408">
        <f t="shared" si="98"/>
        <v>12.115978422619047</v>
      </c>
      <c r="M164" s="63">
        <f t="shared" si="122"/>
        <v>0</v>
      </c>
      <c r="N164" s="407">
        <f t="shared" si="99"/>
        <v>15.622650245036104</v>
      </c>
      <c r="O164" s="407">
        <f t="shared" si="100"/>
        <v>1.352362982355666</v>
      </c>
      <c r="P164">
        <f t="shared" si="123"/>
        <v>0.2</v>
      </c>
      <c r="Q164" s="407">
        <f t="shared" si="133"/>
        <v>1.5523629823556659</v>
      </c>
      <c r="R164" s="9">
        <f t="shared" si="101"/>
        <v>1.9537657686443948</v>
      </c>
      <c r="S164" s="9">
        <f t="shared" si="102"/>
        <v>3.8172006787266228E-3</v>
      </c>
      <c r="T164" s="9">
        <f t="shared" si="103"/>
        <v>3.8172006787266228E-3</v>
      </c>
      <c r="U164" s="407">
        <f t="shared" si="104"/>
        <v>10.007732966844348</v>
      </c>
      <c r="V164" s="409">
        <f t="shared" si="105"/>
        <v>0.20030943827132636</v>
      </c>
      <c r="W164" s="407">
        <f t="shared" si="106"/>
        <v>0.20030943827132636</v>
      </c>
      <c r="X164" s="407">
        <f t="shared" si="107"/>
        <v>10.007732966844348</v>
      </c>
      <c r="Y164" s="407">
        <f t="shared" si="108"/>
        <v>0.60092831481397901</v>
      </c>
      <c r="Z164" s="407">
        <f t="shared" si="124"/>
        <v>0.15610712585186509</v>
      </c>
      <c r="AA164" s="407">
        <f t="shared" si="125"/>
        <v>6.4512E-2</v>
      </c>
      <c r="AB164" s="407">
        <f t="shared" si="126"/>
        <v>0</v>
      </c>
      <c r="AC164" s="407">
        <f t="shared" si="109"/>
        <v>0.93377364528114493</v>
      </c>
      <c r="AD164" s="407">
        <f t="shared" si="110"/>
        <v>11.996352843388005</v>
      </c>
      <c r="AE164" s="407">
        <f t="shared" si="111"/>
        <v>0.8634748892583809</v>
      </c>
      <c r="AF164" s="407">
        <f t="shared" si="127"/>
        <v>0.21427199999999999</v>
      </c>
      <c r="AG164" s="407">
        <f t="shared" si="112"/>
        <v>1.3027201097603833</v>
      </c>
      <c r="AH164" s="407">
        <f t="shared" si="113"/>
        <v>0</v>
      </c>
      <c r="AI164">
        <f t="shared" si="128"/>
        <v>0</v>
      </c>
      <c r="AJ164" s="408">
        <f t="shared" si="129"/>
        <v>0.201712896</v>
      </c>
      <c r="AK164">
        <f t="shared" si="134"/>
        <v>2.52E-2</v>
      </c>
      <c r="AL164" s="408">
        <f t="shared" si="130"/>
        <v>4.4160000000000005E-2</v>
      </c>
      <c r="AM164" s="408">
        <f t="shared" si="135"/>
        <v>4.9347355729984298E-2</v>
      </c>
      <c r="AN164" s="408">
        <f t="shared" si="114"/>
        <v>6.9360000000000005E-2</v>
      </c>
      <c r="AO164" s="408">
        <f t="shared" si="115"/>
        <v>4.264056272347247</v>
      </c>
      <c r="AP164">
        <f t="shared" si="131"/>
        <v>77.5</v>
      </c>
      <c r="AQ164" s="10">
        <f t="shared" si="116"/>
        <v>0.94784925715837609</v>
      </c>
      <c r="AR164" s="63">
        <f t="shared" si="117"/>
        <v>46.688682264057249</v>
      </c>
      <c r="AS164" s="63">
        <f t="shared" si="118"/>
        <v>65.136005488019165</v>
      </c>
      <c r="AT164" s="10"/>
      <c r="AU164">
        <f t="shared" si="119"/>
        <v>94.784925715837602</v>
      </c>
    </row>
    <row r="165" spans="7:47" x14ac:dyDescent="0.2">
      <c r="G165">
        <v>156</v>
      </c>
      <c r="H165">
        <f t="shared" si="120"/>
        <v>15.600000000000001</v>
      </c>
      <c r="I165" s="407">
        <f t="shared" si="97"/>
        <v>0.4104444444444445</v>
      </c>
      <c r="J165" s="408">
        <f t="shared" si="121"/>
        <v>6.7694830246913584</v>
      </c>
      <c r="K165" s="408">
        <f t="shared" si="132"/>
        <v>18.984741512345682</v>
      </c>
      <c r="L165" s="408">
        <f t="shared" si="98"/>
        <v>12.215258487654323</v>
      </c>
      <c r="M165" s="63">
        <f t="shared" si="122"/>
        <v>0</v>
      </c>
      <c r="N165" s="407">
        <f t="shared" si="99"/>
        <v>15.72192179840404</v>
      </c>
      <c r="O165" s="407">
        <f t="shared" si="100"/>
        <v>1.3714960367359539</v>
      </c>
      <c r="P165">
        <f t="shared" si="123"/>
        <v>0.2</v>
      </c>
      <c r="Q165" s="407">
        <f t="shared" si="133"/>
        <v>1.5714960367359538</v>
      </c>
      <c r="R165" s="9">
        <f t="shared" si="101"/>
        <v>1.9541814232900789</v>
      </c>
      <c r="S165" s="9">
        <f t="shared" si="102"/>
        <v>3.8188250351320384E-3</v>
      </c>
      <c r="T165" s="9">
        <f t="shared" si="103"/>
        <v>3.8188250351320384E-3</v>
      </c>
      <c r="U165" s="407">
        <f t="shared" si="104"/>
        <v>10.07239671180476</v>
      </c>
      <c r="V165" s="409">
        <f t="shared" si="105"/>
        <v>0.20290635103995069</v>
      </c>
      <c r="W165" s="407">
        <f t="shared" si="106"/>
        <v>0.20290635103995069</v>
      </c>
      <c r="X165" s="407">
        <f t="shared" si="107"/>
        <v>10.07239671180476</v>
      </c>
      <c r="Y165" s="407">
        <f t="shared" si="108"/>
        <v>0.60871905311985208</v>
      </c>
      <c r="Z165" s="407">
        <f t="shared" si="124"/>
        <v>0.15709481920532442</v>
      </c>
      <c r="AA165" s="407">
        <f t="shared" si="125"/>
        <v>6.4512E-2</v>
      </c>
      <c r="AB165" s="407">
        <f t="shared" si="126"/>
        <v>0</v>
      </c>
      <c r="AC165" s="407">
        <f t="shared" si="109"/>
        <v>0.94542558580212699</v>
      </c>
      <c r="AD165" s="407">
        <f t="shared" si="110"/>
        <v>12.071687931484842</v>
      </c>
      <c r="AE165" s="407">
        <f t="shared" si="111"/>
        <v>0.8743538970909408</v>
      </c>
      <c r="AF165" s="407">
        <f t="shared" si="127"/>
        <v>0.21565440000000002</v>
      </c>
      <c r="AG165" s="407">
        <f t="shared" si="112"/>
        <v>1.3210152663389603</v>
      </c>
      <c r="AH165" s="407">
        <f t="shared" si="113"/>
        <v>0</v>
      </c>
      <c r="AI165">
        <f t="shared" si="128"/>
        <v>0</v>
      </c>
      <c r="AJ165" s="408">
        <f t="shared" si="129"/>
        <v>0.20170321919999998</v>
      </c>
      <c r="AK165">
        <f t="shared" si="134"/>
        <v>2.52E-2</v>
      </c>
      <c r="AL165" s="408">
        <f t="shared" si="130"/>
        <v>4.4160000000000005E-2</v>
      </c>
      <c r="AM165" s="408">
        <f t="shared" si="135"/>
        <v>4.9347355729984298E-2</v>
      </c>
      <c r="AN165" s="408">
        <f t="shared" si="114"/>
        <v>6.9360000000000005E-2</v>
      </c>
      <c r="AO165" s="408">
        <f t="shared" si="115"/>
        <v>4.3157252841521236</v>
      </c>
      <c r="AP165">
        <f t="shared" si="131"/>
        <v>78</v>
      </c>
      <c r="AQ165" s="10">
        <f t="shared" si="116"/>
        <v>0.94757107139304997</v>
      </c>
      <c r="AR165" s="63">
        <f t="shared" si="117"/>
        <v>47.271279290106349</v>
      </c>
      <c r="AS165" s="63">
        <f t="shared" si="118"/>
        <v>66.050763316948007</v>
      </c>
      <c r="AT165" s="10"/>
      <c r="AU165">
        <f t="shared" si="119"/>
        <v>94.757107139304992</v>
      </c>
    </row>
    <row r="166" spans="7:47" x14ac:dyDescent="0.2">
      <c r="G166">
        <v>157</v>
      </c>
      <c r="H166">
        <f t="shared" si="120"/>
        <v>15.700000000000001</v>
      </c>
      <c r="I166" s="407">
        <f t="shared" si="97"/>
        <v>0.41053174603174603</v>
      </c>
      <c r="J166" s="408">
        <f t="shared" si="121"/>
        <v>6.7709228946208109</v>
      </c>
      <c r="K166" s="408">
        <f t="shared" si="132"/>
        <v>19.085461447310408</v>
      </c>
      <c r="L166" s="408">
        <f t="shared" si="98"/>
        <v>12.314538552689596</v>
      </c>
      <c r="M166" s="63">
        <f t="shared" si="122"/>
        <v>0</v>
      </c>
      <c r="N166" s="407">
        <f t="shared" si="99"/>
        <v>15.821202537641538</v>
      </c>
      <c r="O166" s="407">
        <f t="shared" si="100"/>
        <v>1.3908055097414487</v>
      </c>
      <c r="P166">
        <f t="shared" si="123"/>
        <v>0.2</v>
      </c>
      <c r="Q166" s="407">
        <f t="shared" si="133"/>
        <v>1.5908055097414486</v>
      </c>
      <c r="R166" s="9">
        <f t="shared" si="101"/>
        <v>1.9545970779357627</v>
      </c>
      <c r="S166" s="9">
        <f t="shared" si="102"/>
        <v>3.8204497370750222E-3</v>
      </c>
      <c r="T166" s="9">
        <f t="shared" si="103"/>
        <v>3.8204497370750222E-3</v>
      </c>
      <c r="U166" s="407">
        <f t="shared" si="104"/>
        <v>10.137079756051692</v>
      </c>
      <c r="V166" s="409">
        <f t="shared" si="105"/>
        <v>0.20552077196110607</v>
      </c>
      <c r="W166" s="407">
        <f t="shared" si="106"/>
        <v>0.20552077196110607</v>
      </c>
      <c r="X166" s="407">
        <f t="shared" si="107"/>
        <v>10.137079756051692</v>
      </c>
      <c r="Y166" s="407">
        <f t="shared" si="108"/>
        <v>0.61656231588331822</v>
      </c>
      <c r="Z166" s="407">
        <f t="shared" si="124"/>
        <v>0.15808251255878364</v>
      </c>
      <c r="AA166" s="407">
        <f t="shared" si="125"/>
        <v>6.4512E-2</v>
      </c>
      <c r="AB166" s="407">
        <f t="shared" si="126"/>
        <v>0</v>
      </c>
      <c r="AC166" s="407">
        <f t="shared" si="109"/>
        <v>0.95719032516736069</v>
      </c>
      <c r="AD166" s="407">
        <f t="shared" si="110"/>
        <v>12.147018718867688</v>
      </c>
      <c r="AE166" s="407">
        <f t="shared" si="111"/>
        <v>0.88530038253913201</v>
      </c>
      <c r="AF166" s="407">
        <f t="shared" si="127"/>
        <v>0.21703680000000003</v>
      </c>
      <c r="AG166" s="407">
        <f t="shared" si="112"/>
        <v>1.3395111247748521</v>
      </c>
      <c r="AH166" s="407">
        <f t="shared" si="113"/>
        <v>0</v>
      </c>
      <c r="AI166">
        <f t="shared" si="128"/>
        <v>0</v>
      </c>
      <c r="AJ166" s="408">
        <f t="shared" si="129"/>
        <v>0.20169354239999998</v>
      </c>
      <c r="AK166">
        <f t="shared" si="134"/>
        <v>2.52E-2</v>
      </c>
      <c r="AL166" s="408">
        <f t="shared" si="130"/>
        <v>4.4160000000000005E-2</v>
      </c>
      <c r="AM166" s="408">
        <f t="shared" si="135"/>
        <v>4.9347355729984298E-2</v>
      </c>
      <c r="AN166" s="408">
        <f t="shared" si="114"/>
        <v>6.9360000000000005E-2</v>
      </c>
      <c r="AO166" s="408">
        <f t="shared" si="115"/>
        <v>4.3679017237818423</v>
      </c>
      <c r="AP166">
        <f t="shared" si="131"/>
        <v>78.5</v>
      </c>
      <c r="AQ166" s="10">
        <f t="shared" si="116"/>
        <v>0.9472907889191996</v>
      </c>
      <c r="AR166" s="63">
        <f t="shared" si="117"/>
        <v>47.859516258368032</v>
      </c>
      <c r="AS166" s="63">
        <f t="shared" si="118"/>
        <v>66.975556238742612</v>
      </c>
      <c r="AT166" s="10"/>
      <c r="AU166">
        <f t="shared" si="119"/>
        <v>94.729078891919954</v>
      </c>
    </row>
    <row r="167" spans="7:47" x14ac:dyDescent="0.2">
      <c r="G167">
        <v>158</v>
      </c>
      <c r="H167">
        <f t="shared" si="120"/>
        <v>15.8</v>
      </c>
      <c r="I167" s="407">
        <f t="shared" si="97"/>
        <v>0.41061904761904761</v>
      </c>
      <c r="J167" s="408">
        <f t="shared" si="121"/>
        <v>6.7723627645502642</v>
      </c>
      <c r="K167" s="408">
        <f t="shared" si="132"/>
        <v>19.186181382275134</v>
      </c>
      <c r="L167" s="408">
        <f t="shared" si="98"/>
        <v>12.413818617724868</v>
      </c>
      <c r="M167" s="63">
        <f t="shared" si="122"/>
        <v>0</v>
      </c>
      <c r="N167" s="407">
        <f t="shared" si="99"/>
        <v>15.920492290898407</v>
      </c>
      <c r="O167" s="407">
        <f t="shared" si="100"/>
        <v>1.4102926548649766</v>
      </c>
      <c r="P167">
        <f t="shared" si="123"/>
        <v>0.2</v>
      </c>
      <c r="Q167" s="407">
        <f t="shared" si="133"/>
        <v>1.6102926548649765</v>
      </c>
      <c r="R167" s="9">
        <f t="shared" si="101"/>
        <v>1.9550127325814466</v>
      </c>
      <c r="S167" s="9">
        <f t="shared" si="102"/>
        <v>3.822074784555575E-3</v>
      </c>
      <c r="T167" s="9">
        <f t="shared" si="103"/>
        <v>3.822074784555575E-3</v>
      </c>
      <c r="U167" s="407">
        <f t="shared" si="104"/>
        <v>10.201781989220414</v>
      </c>
      <c r="V167" s="409">
        <f t="shared" si="105"/>
        <v>0.2081527115111641</v>
      </c>
      <c r="W167" s="407">
        <f t="shared" si="106"/>
        <v>0.2081527115111641</v>
      </c>
      <c r="X167" s="407">
        <f t="shared" si="107"/>
        <v>10.201781989220414</v>
      </c>
      <c r="Y167" s="407">
        <f t="shared" si="108"/>
        <v>0.6244581345334923</v>
      </c>
      <c r="Z167" s="407">
        <f t="shared" si="124"/>
        <v>0.15907020591224291</v>
      </c>
      <c r="AA167" s="407">
        <f t="shared" si="125"/>
        <v>6.4512E-2</v>
      </c>
      <c r="AB167" s="407">
        <f t="shared" si="126"/>
        <v>0</v>
      </c>
      <c r="AC167" s="407">
        <f t="shared" si="109"/>
        <v>0.96906893651138637</v>
      </c>
      <c r="AD167" s="407">
        <f t="shared" si="110"/>
        <v>12.222345070769912</v>
      </c>
      <c r="AE167" s="407">
        <f t="shared" si="111"/>
        <v>0.89631431417384122</v>
      </c>
      <c r="AF167" s="407">
        <f t="shared" si="127"/>
        <v>0.21841920000000001</v>
      </c>
      <c r="AG167" s="407">
        <f t="shared" si="112"/>
        <v>1.358210154866456</v>
      </c>
      <c r="AH167" s="407">
        <f t="shared" si="113"/>
        <v>0</v>
      </c>
      <c r="AI167">
        <f t="shared" si="128"/>
        <v>0</v>
      </c>
      <c r="AJ167" s="408">
        <f t="shared" si="129"/>
        <v>0.20168386560000001</v>
      </c>
      <c r="AK167">
        <f t="shared" si="134"/>
        <v>2.52E-2</v>
      </c>
      <c r="AL167" s="408">
        <f t="shared" si="130"/>
        <v>4.4160000000000005E-2</v>
      </c>
      <c r="AM167" s="408">
        <f t="shared" si="135"/>
        <v>4.9347355729984298E-2</v>
      </c>
      <c r="AN167" s="408">
        <f t="shared" si="114"/>
        <v>6.9360000000000005E-2</v>
      </c>
      <c r="AO167" s="408">
        <f t="shared" si="115"/>
        <v>4.4205903981385388</v>
      </c>
      <c r="AP167">
        <f t="shared" si="131"/>
        <v>79</v>
      </c>
      <c r="AQ167" s="10">
        <f t="shared" si="116"/>
        <v>0.94700840191803315</v>
      </c>
      <c r="AR167" s="63">
        <f t="shared" si="117"/>
        <v>48.453446825569316</v>
      </c>
      <c r="AS167" s="63">
        <f t="shared" si="118"/>
        <v>67.910507743322796</v>
      </c>
      <c r="AT167" s="10"/>
      <c r="AU167">
        <f t="shared" si="119"/>
        <v>94.700840191803309</v>
      </c>
    </row>
    <row r="168" spans="7:47" x14ac:dyDescent="0.2">
      <c r="G168">
        <v>159</v>
      </c>
      <c r="H168">
        <f t="shared" si="120"/>
        <v>15.9</v>
      </c>
      <c r="I168" s="407">
        <f t="shared" si="97"/>
        <v>0.41070634920634924</v>
      </c>
      <c r="J168" s="408">
        <f t="shared" si="121"/>
        <v>6.7738026344797166</v>
      </c>
      <c r="K168" s="408">
        <f t="shared" si="132"/>
        <v>19.28690131723986</v>
      </c>
      <c r="L168" s="408">
        <f t="shared" si="98"/>
        <v>12.513098682760141</v>
      </c>
      <c r="M168" s="63">
        <f t="shared" si="122"/>
        <v>0</v>
      </c>
      <c r="N168" s="407">
        <f t="shared" si="99"/>
        <v>16.019790890569507</v>
      </c>
      <c r="O168" s="407">
        <f t="shared" si="100"/>
        <v>1.4299587421249909</v>
      </c>
      <c r="P168">
        <f t="shared" si="123"/>
        <v>0.2</v>
      </c>
      <c r="Q168" s="407">
        <f t="shared" si="133"/>
        <v>1.6299587421249908</v>
      </c>
      <c r="R168" s="9">
        <f t="shared" si="101"/>
        <v>1.9554283872271303</v>
      </c>
      <c r="S168" s="9">
        <f t="shared" si="102"/>
        <v>3.823700177573696E-3</v>
      </c>
      <c r="T168" s="9">
        <f t="shared" si="103"/>
        <v>3.823700177573696E-3</v>
      </c>
      <c r="U168" s="407">
        <f t="shared" si="104"/>
        <v>10.266503303620377</v>
      </c>
      <c r="V168" s="409">
        <f t="shared" si="105"/>
        <v>0.21080218016649624</v>
      </c>
      <c r="W168" s="407">
        <f t="shared" si="106"/>
        <v>0.21080218016649624</v>
      </c>
      <c r="X168" s="407">
        <f t="shared" si="107"/>
        <v>10.266503303620377</v>
      </c>
      <c r="Y168" s="407">
        <f t="shared" si="108"/>
        <v>0.63240654049948875</v>
      </c>
      <c r="Z168" s="407">
        <f t="shared" si="124"/>
        <v>0.16005789926570219</v>
      </c>
      <c r="AA168" s="407">
        <f t="shared" si="125"/>
        <v>6.4512E-2</v>
      </c>
      <c r="AB168" s="407">
        <f t="shared" si="126"/>
        <v>0</v>
      </c>
      <c r="AC168" s="407">
        <f t="shared" si="109"/>
        <v>0.98106250926476668</v>
      </c>
      <c r="AD168" s="407">
        <f t="shared" si="110"/>
        <v>12.297666855722088</v>
      </c>
      <c r="AE168" s="407">
        <f t="shared" si="111"/>
        <v>0.90739566056595355</v>
      </c>
      <c r="AF168" s="407">
        <f t="shared" si="127"/>
        <v>0.21980159999999999</v>
      </c>
      <c r="AG168" s="407">
        <f t="shared" si="112"/>
        <v>1.3771148724357631</v>
      </c>
      <c r="AH168" s="407">
        <f t="shared" si="113"/>
        <v>0</v>
      </c>
      <c r="AI168">
        <f t="shared" si="128"/>
        <v>0</v>
      </c>
      <c r="AJ168" s="408">
        <f t="shared" si="129"/>
        <v>0.20167418879999999</v>
      </c>
      <c r="AK168">
        <f t="shared" si="134"/>
        <v>2.52E-2</v>
      </c>
      <c r="AL168" s="408">
        <f t="shared" si="130"/>
        <v>4.4160000000000005E-2</v>
      </c>
      <c r="AM168" s="408">
        <f t="shared" si="135"/>
        <v>4.9347355729984298E-2</v>
      </c>
      <c r="AN168" s="408">
        <f t="shared" si="114"/>
        <v>6.9360000000000005E-2</v>
      </c>
      <c r="AO168" s="408">
        <f t="shared" si="115"/>
        <v>4.4737961929695906</v>
      </c>
      <c r="AP168">
        <f t="shared" si="131"/>
        <v>79.5</v>
      </c>
      <c r="AQ168" s="10">
        <f t="shared" si="116"/>
        <v>0.94672390202904577</v>
      </c>
      <c r="AR168" s="63">
        <f t="shared" si="117"/>
        <v>49.053125463238331</v>
      </c>
      <c r="AS168" s="63">
        <f t="shared" si="118"/>
        <v>68.85574362178815</v>
      </c>
      <c r="AT168" s="10"/>
      <c r="AU168">
        <f t="shared" si="119"/>
        <v>94.67239020290458</v>
      </c>
    </row>
    <row r="169" spans="7:47" x14ac:dyDescent="0.2">
      <c r="G169">
        <v>160</v>
      </c>
      <c r="H169">
        <f t="shared" si="120"/>
        <v>16</v>
      </c>
      <c r="I169" s="407">
        <f t="shared" si="97"/>
        <v>0.41079365079365082</v>
      </c>
      <c r="J169" s="408">
        <f t="shared" si="121"/>
        <v>6.77524250440917</v>
      </c>
      <c r="K169" s="408">
        <f t="shared" si="132"/>
        <v>19.387621252204585</v>
      </c>
      <c r="L169" s="408">
        <f t="shared" si="98"/>
        <v>12.612378747795415</v>
      </c>
      <c r="M169" s="63">
        <f t="shared" si="122"/>
        <v>0</v>
      </c>
      <c r="N169" s="407">
        <f t="shared" si="99"/>
        <v>16.119098173164943</v>
      </c>
      <c r="O169" s="407">
        <f t="shared" si="100"/>
        <v>1.4498050582952096</v>
      </c>
      <c r="P169">
        <f t="shared" si="123"/>
        <v>0.2</v>
      </c>
      <c r="Q169" s="407">
        <f t="shared" si="133"/>
        <v>1.6498050582952095</v>
      </c>
      <c r="R169" s="9">
        <f t="shared" si="101"/>
        <v>1.9558440418728145</v>
      </c>
      <c r="S169" s="9">
        <f t="shared" si="102"/>
        <v>3.8253259161293877E-3</v>
      </c>
      <c r="T169" s="9">
        <f t="shared" si="103"/>
        <v>3.8253259161293877E-3</v>
      </c>
      <c r="U169" s="407">
        <f t="shared" si="104"/>
        <v>10.331243594153463</v>
      </c>
      <c r="V169" s="409">
        <f t="shared" si="105"/>
        <v>0.21346918840347395</v>
      </c>
      <c r="W169" s="407">
        <f t="shared" si="106"/>
        <v>0.21346918840347395</v>
      </c>
      <c r="X169" s="407">
        <f t="shared" si="107"/>
        <v>10.331243594153463</v>
      </c>
      <c r="Y169" s="407">
        <f t="shared" si="108"/>
        <v>0.64040756521042186</v>
      </c>
      <c r="Z169" s="407">
        <f t="shared" si="124"/>
        <v>0.16104559261916143</v>
      </c>
      <c r="AA169" s="407">
        <f t="shared" si="125"/>
        <v>6.4512E-2</v>
      </c>
      <c r="AB169" s="407">
        <f t="shared" si="126"/>
        <v>0</v>
      </c>
      <c r="AC169" s="407">
        <f t="shared" si="109"/>
        <v>0.99317214944128174</v>
      </c>
      <c r="AD169" s="407">
        <f t="shared" si="110"/>
        <v>12.372983945451171</v>
      </c>
      <c r="AE169" s="407">
        <f t="shared" si="111"/>
        <v>0.9185443902863546</v>
      </c>
      <c r="AF169" s="407">
        <f t="shared" si="127"/>
        <v>0.22118399999999999</v>
      </c>
      <c r="AG169" s="407">
        <f t="shared" si="112"/>
        <v>1.3962278403492399</v>
      </c>
      <c r="AH169" s="407">
        <f t="shared" si="113"/>
        <v>0</v>
      </c>
      <c r="AI169">
        <f t="shared" si="128"/>
        <v>0</v>
      </c>
      <c r="AJ169" s="408">
        <f t="shared" si="129"/>
        <v>0.20166451199999999</v>
      </c>
      <c r="AK169">
        <f t="shared" si="134"/>
        <v>2.52E-2</v>
      </c>
      <c r="AL169" s="408">
        <f t="shared" si="130"/>
        <v>4.4160000000000005E-2</v>
      </c>
      <c r="AM169" s="408">
        <f t="shared" si="135"/>
        <v>4.9347355729984298E-2</v>
      </c>
      <c r="AN169" s="408">
        <f t="shared" si="114"/>
        <v>6.9360000000000005E-2</v>
      </c>
      <c r="AO169" s="408">
        <f t="shared" si="115"/>
        <v>4.527524074405334</v>
      </c>
      <c r="AP169">
        <f t="shared" si="131"/>
        <v>80</v>
      </c>
      <c r="AQ169" s="10">
        <f t="shared" si="116"/>
        <v>0.94643728035355701</v>
      </c>
      <c r="AR169" s="63">
        <f t="shared" si="117"/>
        <v>49.658607472064084</v>
      </c>
      <c r="AS169" s="63">
        <f t="shared" si="118"/>
        <v>69.811392017461998</v>
      </c>
      <c r="AT169" s="10"/>
      <c r="AU169">
        <f t="shared" si="119"/>
        <v>94.643728035355707</v>
      </c>
    </row>
    <row r="170" spans="7:47" x14ac:dyDescent="0.2">
      <c r="G170">
        <v>161</v>
      </c>
      <c r="H170">
        <f t="shared" si="120"/>
        <v>16.100000000000001</v>
      </c>
      <c r="I170" s="407">
        <f t="shared" si="97"/>
        <v>0.41088095238095235</v>
      </c>
      <c r="J170" s="408">
        <f t="shared" si="121"/>
        <v>6.7766823743386224</v>
      </c>
      <c r="K170" s="408">
        <f t="shared" si="132"/>
        <v>19.488341187169311</v>
      </c>
      <c r="L170" s="408">
        <f t="shared" si="98"/>
        <v>12.71165881283069</v>
      </c>
      <c r="M170" s="63">
        <f t="shared" si="122"/>
        <v>0</v>
      </c>
      <c r="N170" s="407">
        <f t="shared" si="99"/>
        <v>16.218413979184977</v>
      </c>
      <c r="O170" s="407">
        <f t="shared" si="100"/>
        <v>1.4698329071384422</v>
      </c>
      <c r="P170">
        <f t="shared" si="123"/>
        <v>0.2</v>
      </c>
      <c r="Q170" s="407">
        <f t="shared" si="133"/>
        <v>1.6698329071384421</v>
      </c>
      <c r="R170" s="9">
        <f t="shared" si="101"/>
        <v>1.9562596965184982</v>
      </c>
      <c r="S170" s="9">
        <f t="shared" si="102"/>
        <v>3.8269520002226468E-3</v>
      </c>
      <c r="T170" s="9">
        <f t="shared" si="103"/>
        <v>3.8269520002226468E-3</v>
      </c>
      <c r="U170" s="407">
        <f t="shared" si="104"/>
        <v>10.396002758235221</v>
      </c>
      <c r="V170" s="409">
        <f t="shared" si="105"/>
        <v>0.21615374669846868</v>
      </c>
      <c r="W170" s="407">
        <f t="shared" si="106"/>
        <v>0.21615374669846868</v>
      </c>
      <c r="X170" s="407">
        <f t="shared" si="107"/>
        <v>10.396002758235221</v>
      </c>
      <c r="Y170" s="407">
        <f t="shared" si="108"/>
        <v>0.64846124009540607</v>
      </c>
      <c r="Z170" s="407">
        <f t="shared" si="124"/>
        <v>0.16203328597262071</v>
      </c>
      <c r="AA170" s="407">
        <f t="shared" si="125"/>
        <v>6.4512E-2</v>
      </c>
      <c r="AB170" s="407">
        <f t="shared" si="126"/>
        <v>0</v>
      </c>
      <c r="AC170" s="407">
        <f t="shared" si="109"/>
        <v>1.0053989799314242</v>
      </c>
      <c r="AD170" s="407">
        <f t="shared" si="110"/>
        <v>12.448296214783303</v>
      </c>
      <c r="AE170" s="407">
        <f t="shared" si="111"/>
        <v>0.92976047190592992</v>
      </c>
      <c r="AF170" s="407">
        <f t="shared" si="127"/>
        <v>0.2225664</v>
      </c>
      <c r="AG170" s="407">
        <f t="shared" si="112"/>
        <v>1.415551669566629</v>
      </c>
      <c r="AH170" s="407">
        <f t="shared" si="113"/>
        <v>0</v>
      </c>
      <c r="AI170">
        <f t="shared" si="128"/>
        <v>0</v>
      </c>
      <c r="AJ170" s="408">
        <f t="shared" si="129"/>
        <v>0.20165483519999999</v>
      </c>
      <c r="AK170">
        <f t="shared" si="134"/>
        <v>2.52E-2</v>
      </c>
      <c r="AL170" s="408">
        <f t="shared" si="130"/>
        <v>4.4160000000000005E-2</v>
      </c>
      <c r="AM170" s="408">
        <f t="shared" si="135"/>
        <v>4.9347355729984298E-2</v>
      </c>
      <c r="AN170" s="408">
        <f t="shared" si="114"/>
        <v>6.9360000000000005E-2</v>
      </c>
      <c r="AO170" s="408">
        <f t="shared" si="115"/>
        <v>4.5817790905351856</v>
      </c>
      <c r="AP170">
        <f t="shared" si="131"/>
        <v>80.5</v>
      </c>
      <c r="AQ170" s="10">
        <f t="shared" si="116"/>
        <v>0.94614852745780353</v>
      </c>
      <c r="AR170" s="63">
        <f t="shared" si="117"/>
        <v>50.269948996571209</v>
      </c>
      <c r="AS170" s="63">
        <f t="shared" si="118"/>
        <v>70.777583478331451</v>
      </c>
      <c r="AT170" s="10"/>
      <c r="AU170">
        <f t="shared" si="119"/>
        <v>94.614852745780354</v>
      </c>
    </row>
    <row r="171" spans="7:47" x14ac:dyDescent="0.2">
      <c r="G171">
        <v>162</v>
      </c>
      <c r="H171">
        <f t="shared" si="120"/>
        <v>16.200000000000003</v>
      </c>
      <c r="I171" s="407">
        <f t="shared" si="97"/>
        <v>0.41096825396825398</v>
      </c>
      <c r="J171" s="408">
        <f t="shared" si="121"/>
        <v>6.7781222442680766</v>
      </c>
      <c r="K171" s="408">
        <f t="shared" si="132"/>
        <v>19.589061122134041</v>
      </c>
      <c r="L171" s="408">
        <f t="shared" si="98"/>
        <v>12.810938877865965</v>
      </c>
      <c r="M171" s="63">
        <f t="shared" si="122"/>
        <v>0</v>
      </c>
      <c r="N171" s="407">
        <f t="shared" si="99"/>
        <v>16.317738152999439</v>
      </c>
      <c r="O171" s="407">
        <f t="shared" si="100"/>
        <v>1.4900436096447007</v>
      </c>
      <c r="P171">
        <f t="shared" si="123"/>
        <v>0.2</v>
      </c>
      <c r="Q171" s="407">
        <f t="shared" si="133"/>
        <v>1.6900436096447007</v>
      </c>
      <c r="R171" s="9">
        <f t="shared" si="101"/>
        <v>1.9566753511641823</v>
      </c>
      <c r="S171" s="9">
        <f t="shared" si="102"/>
        <v>3.8285784298534762E-3</v>
      </c>
      <c r="T171" s="9">
        <f t="shared" si="103"/>
        <v>3.8285784298534762E-3</v>
      </c>
      <c r="U171" s="407">
        <f t="shared" si="104"/>
        <v>10.460780695718938</v>
      </c>
      <c r="V171" s="409">
        <f t="shared" si="105"/>
        <v>0.21885586552785199</v>
      </c>
      <c r="W171" s="407">
        <f t="shared" si="106"/>
        <v>0.21885586552785199</v>
      </c>
      <c r="X171" s="407">
        <f t="shared" si="107"/>
        <v>10.460780695718938</v>
      </c>
      <c r="Y171" s="407">
        <f t="shared" si="108"/>
        <v>0.65656759658355601</v>
      </c>
      <c r="Z171" s="407">
        <f t="shared" si="124"/>
        <v>0.16302097932608003</v>
      </c>
      <c r="AA171" s="407">
        <f t="shared" si="125"/>
        <v>6.4512E-2</v>
      </c>
      <c r="AB171" s="407">
        <f t="shared" si="126"/>
        <v>0</v>
      </c>
      <c r="AC171" s="407">
        <f t="shared" si="109"/>
        <v>1.017744140802356</v>
      </c>
      <c r="AD171" s="407">
        <f t="shared" si="110"/>
        <v>12.523603541550154</v>
      </c>
      <c r="AE171" s="407">
        <f t="shared" si="111"/>
        <v>0.94104387399556533</v>
      </c>
      <c r="AF171" s="407">
        <f t="shared" si="127"/>
        <v>0.22394880000000003</v>
      </c>
      <c r="AG171" s="407">
        <f t="shared" si="112"/>
        <v>1.4350890202185602</v>
      </c>
      <c r="AH171" s="407">
        <f t="shared" si="113"/>
        <v>0</v>
      </c>
      <c r="AI171">
        <f t="shared" si="128"/>
        <v>0</v>
      </c>
      <c r="AJ171" s="408">
        <f t="shared" si="129"/>
        <v>0.20164515839999997</v>
      </c>
      <c r="AK171">
        <f t="shared" si="134"/>
        <v>2.52E-2</v>
      </c>
      <c r="AL171" s="408">
        <f t="shared" si="130"/>
        <v>4.4160000000000005E-2</v>
      </c>
      <c r="AM171" s="408">
        <f t="shared" si="135"/>
        <v>4.9347355729984298E-2</v>
      </c>
      <c r="AN171" s="408">
        <f t="shared" si="114"/>
        <v>6.9360000000000005E-2</v>
      </c>
      <c r="AO171" s="408">
        <f t="shared" si="115"/>
        <v>4.6365663730233226</v>
      </c>
      <c r="AP171">
        <f t="shared" si="131"/>
        <v>81.000000000000014</v>
      </c>
      <c r="AQ171" s="10">
        <f t="shared" si="116"/>
        <v>0.94585763337559614</v>
      </c>
      <c r="AR171" s="63">
        <f t="shared" si="117"/>
        <v>50.887207040117801</v>
      </c>
      <c r="AS171" s="63">
        <f t="shared" si="118"/>
        <v>71.754451010928008</v>
      </c>
      <c r="AT171" s="10"/>
      <c r="AU171">
        <f t="shared" si="119"/>
        <v>94.585763337559612</v>
      </c>
    </row>
    <row r="172" spans="7:47" x14ac:dyDescent="0.2">
      <c r="G172">
        <v>163</v>
      </c>
      <c r="H172">
        <f t="shared" si="120"/>
        <v>16.299999999999997</v>
      </c>
      <c r="I172" s="407">
        <f t="shared" si="97"/>
        <v>0.41105555555555562</v>
      </c>
      <c r="J172" s="408">
        <f t="shared" si="121"/>
        <v>6.7795621141975309</v>
      </c>
      <c r="K172" s="408">
        <f t="shared" si="132"/>
        <v>19.689781057098763</v>
      </c>
      <c r="L172" s="408">
        <f t="shared" si="98"/>
        <v>12.910218942901231</v>
      </c>
      <c r="M172" s="63">
        <f t="shared" si="122"/>
        <v>0</v>
      </c>
      <c r="N172" s="407">
        <f t="shared" si="99"/>
        <v>16.41707054273148</v>
      </c>
      <c r="O172" s="407">
        <f t="shared" si="100"/>
        <v>1.5104385042736705</v>
      </c>
      <c r="P172">
        <f t="shared" si="123"/>
        <v>0.2</v>
      </c>
      <c r="Q172" s="407">
        <f t="shared" si="133"/>
        <v>1.7104385042736705</v>
      </c>
      <c r="R172" s="9">
        <f t="shared" si="101"/>
        <v>1.9570910058098665</v>
      </c>
      <c r="S172" s="9">
        <f t="shared" si="102"/>
        <v>3.8302052050218751E-3</v>
      </c>
      <c r="T172" s="9">
        <f t="shared" si="103"/>
        <v>3.8302052050218751E-3</v>
      </c>
      <c r="U172" s="407">
        <f t="shared" si="104"/>
        <v>10.525577308822426</v>
      </c>
      <c r="V172" s="409">
        <f t="shared" si="105"/>
        <v>0.22157555536799506</v>
      </c>
      <c r="W172" s="407">
        <f t="shared" si="106"/>
        <v>0.22157555536799506</v>
      </c>
      <c r="X172" s="407">
        <f t="shared" si="107"/>
        <v>10.525577308822426</v>
      </c>
      <c r="Y172" s="407">
        <f t="shared" si="108"/>
        <v>0.66472666610398523</v>
      </c>
      <c r="Z172" s="407">
        <f t="shared" si="124"/>
        <v>0.16400867267953922</v>
      </c>
      <c r="AA172" s="407">
        <f t="shared" si="125"/>
        <v>6.4512E-2</v>
      </c>
      <c r="AB172" s="407">
        <f t="shared" si="126"/>
        <v>0</v>
      </c>
      <c r="AC172" s="407">
        <f t="shared" si="109"/>
        <v>1.0302087896044869</v>
      </c>
      <c r="AD172" s="407">
        <f t="shared" si="110"/>
        <v>12.5989058064986</v>
      </c>
      <c r="AE172" s="407">
        <f t="shared" si="111"/>
        <v>0.95239456512614484</v>
      </c>
      <c r="AF172" s="407">
        <f t="shared" si="127"/>
        <v>0.22533119999999995</v>
      </c>
      <c r="AG172" s="407">
        <f t="shared" si="112"/>
        <v>1.4548426027138794</v>
      </c>
      <c r="AH172" s="407">
        <f t="shared" si="113"/>
        <v>0</v>
      </c>
      <c r="AI172">
        <f t="shared" si="128"/>
        <v>0</v>
      </c>
      <c r="AJ172" s="408">
        <f t="shared" si="129"/>
        <v>0.2016354816</v>
      </c>
      <c r="AK172">
        <f t="shared" si="134"/>
        <v>2.52E-2</v>
      </c>
      <c r="AL172" s="408">
        <f t="shared" si="130"/>
        <v>4.4160000000000005E-2</v>
      </c>
      <c r="AM172" s="408">
        <f t="shared" si="135"/>
        <v>4.9347355729984298E-2</v>
      </c>
      <c r="AN172" s="408">
        <f t="shared" si="114"/>
        <v>6.9360000000000005E-2</v>
      </c>
      <c r="AO172" s="408">
        <f t="shared" si="115"/>
        <v>4.6918911387650528</v>
      </c>
      <c r="AP172">
        <f t="shared" si="131"/>
        <v>81.499999999999986</v>
      </c>
      <c r="AQ172" s="10">
        <f t="shared" si="116"/>
        <v>0.94556458761055229</v>
      </c>
      <c r="AR172" s="63">
        <f t="shared" si="117"/>
        <v>51.510439480224349</v>
      </c>
      <c r="AS172" s="63">
        <f t="shared" si="118"/>
        <v>72.742130135693969</v>
      </c>
      <c r="AT172" s="10"/>
      <c r="AU172">
        <f t="shared" si="119"/>
        <v>94.556458761055225</v>
      </c>
    </row>
    <row r="173" spans="7:47" x14ac:dyDescent="0.2">
      <c r="G173">
        <v>164</v>
      </c>
      <c r="H173">
        <f t="shared" si="120"/>
        <v>16.399999999999999</v>
      </c>
      <c r="I173" s="407">
        <f t="shared" si="97"/>
        <v>0.41114285714285714</v>
      </c>
      <c r="J173" s="408">
        <f t="shared" si="121"/>
        <v>6.7810019841269833</v>
      </c>
      <c r="K173" s="408">
        <f t="shared" si="132"/>
        <v>19.790500992063489</v>
      </c>
      <c r="L173" s="408">
        <f t="shared" si="98"/>
        <v>13.009499007936506</v>
      </c>
      <c r="M173" s="63">
        <f t="shared" si="122"/>
        <v>0</v>
      </c>
      <c r="N173" s="407">
        <f t="shared" si="99"/>
        <v>16.516411000145517</v>
      </c>
      <c r="O173" s="407">
        <f t="shared" si="100"/>
        <v>1.531018947201658</v>
      </c>
      <c r="P173">
        <f t="shared" si="123"/>
        <v>0.2</v>
      </c>
      <c r="Q173" s="407">
        <f t="shared" si="133"/>
        <v>1.7310189472016579</v>
      </c>
      <c r="R173" s="9">
        <f t="shared" si="101"/>
        <v>1.9575066604555502</v>
      </c>
      <c r="S173" s="9">
        <f t="shared" si="102"/>
        <v>3.8318323257278408E-3</v>
      </c>
      <c r="T173" s="9">
        <f t="shared" si="103"/>
        <v>3.8318323257278408E-3</v>
      </c>
      <c r="U173" s="407">
        <f t="shared" si="104"/>
        <v>10.590392502057465</v>
      </c>
      <c r="V173" s="409">
        <f t="shared" si="105"/>
        <v>0.22431282669526997</v>
      </c>
      <c r="W173" s="407">
        <f t="shared" si="106"/>
        <v>0.22431282669526997</v>
      </c>
      <c r="X173" s="407">
        <f t="shared" si="107"/>
        <v>10.590392502057465</v>
      </c>
      <c r="Y173" s="407">
        <f t="shared" si="108"/>
        <v>0.67293848008580992</v>
      </c>
      <c r="Z173" s="407">
        <f t="shared" si="124"/>
        <v>0.1649963660329985</v>
      </c>
      <c r="AA173" s="407">
        <f t="shared" si="125"/>
        <v>6.4512E-2</v>
      </c>
      <c r="AB173" s="407">
        <f t="shared" si="126"/>
        <v>0</v>
      </c>
      <c r="AC173" s="407">
        <f t="shared" si="109"/>
        <v>1.0427941016848599</v>
      </c>
      <c r="AD173" s="407">
        <f t="shared" si="110"/>
        <v>12.674202893203693</v>
      </c>
      <c r="AE173" s="407">
        <f t="shared" si="111"/>
        <v>0.96381251386855726</v>
      </c>
      <c r="AF173" s="407">
        <f t="shared" si="127"/>
        <v>0.22671359999999996</v>
      </c>
      <c r="AG173" s="407">
        <f t="shared" si="112"/>
        <v>1.4748151788776771</v>
      </c>
      <c r="AH173" s="407">
        <f t="shared" si="113"/>
        <v>0</v>
      </c>
      <c r="AI173">
        <f t="shared" si="128"/>
        <v>0</v>
      </c>
      <c r="AJ173" s="408">
        <f t="shared" si="129"/>
        <v>0.2016258048</v>
      </c>
      <c r="AK173">
        <f t="shared" si="134"/>
        <v>2.52E-2</v>
      </c>
      <c r="AL173" s="408">
        <f t="shared" si="130"/>
        <v>4.4160000000000005E-2</v>
      </c>
      <c r="AM173" s="408">
        <f t="shared" si="135"/>
        <v>4.9347355729984298E-2</v>
      </c>
      <c r="AN173" s="408">
        <f t="shared" si="114"/>
        <v>6.9360000000000005E-2</v>
      </c>
      <c r="AO173" s="408">
        <f t="shared" si="115"/>
        <v>4.7477586915851919</v>
      </c>
      <c r="AP173">
        <f t="shared" si="131"/>
        <v>82</v>
      </c>
      <c r="AQ173" s="10">
        <f t="shared" si="116"/>
        <v>0.94526937913791031</v>
      </c>
      <c r="AR173" s="63">
        <f t="shared" si="117"/>
        <v>52.139705084242991</v>
      </c>
      <c r="AS173" s="63">
        <f t="shared" si="118"/>
        <v>73.740758943883861</v>
      </c>
      <c r="AT173" s="10"/>
      <c r="AU173">
        <f t="shared" si="119"/>
        <v>94.526937913791031</v>
      </c>
    </row>
    <row r="174" spans="7:47" x14ac:dyDescent="0.2">
      <c r="G174">
        <v>165</v>
      </c>
      <c r="H174">
        <f t="shared" si="120"/>
        <v>16.5</v>
      </c>
      <c r="I174" s="407">
        <f t="shared" ref="I174:I209" si="136">(Vout+Rdcr*H174+RdsonBot*H174)/(Vin-RdsonTop*H174+RdsonBot*H174)</f>
        <v>0.41123015873015872</v>
      </c>
      <c r="J174" s="408">
        <f t="shared" si="121"/>
        <v>6.7824418540564366</v>
      </c>
      <c r="K174" s="408">
        <f t="shared" si="132"/>
        <v>19.891220927028218</v>
      </c>
      <c r="L174" s="408">
        <f t="shared" ref="L174:L209" si="137">H174-J174/2</f>
        <v>13.108779072971782</v>
      </c>
      <c r="M174" s="63">
        <f t="shared" si="122"/>
        <v>0</v>
      </c>
      <c r="N174" s="407">
        <f t="shared" ref="N174:N209" si="138">SQRT(H174^2+(J174^2)/12)</f>
        <v>16.61575938053905</v>
      </c>
      <c r="O174" s="407">
        <f t="shared" ref="O174:O209" si="139">(N174^2*Rdcr*(1+Ltc*Ta-Ltc*25))/(1-N174^2*Rdcr*Ltc*ThetaCa)</f>
        <v>1.5517863125730553</v>
      </c>
      <c r="P174">
        <f t="shared" si="123"/>
        <v>0.2</v>
      </c>
      <c r="Q174" s="407">
        <f t="shared" si="133"/>
        <v>1.7517863125730553</v>
      </c>
      <c r="R174" s="9">
        <f t="shared" ref="R174:R209" si="140">J174/(2*SQRT(3))</f>
        <v>1.9579223151012342</v>
      </c>
      <c r="S174" s="9">
        <f t="shared" ref="S174:S209" si="141">RCoutEsr*R174^2</f>
        <v>3.8334597919713765E-3</v>
      </c>
      <c r="T174" s="9">
        <f t="shared" ref="T174:T209" si="142">S174</f>
        <v>3.8334597919713765E-3</v>
      </c>
      <c r="U174" s="407">
        <f t="shared" ref="U174:U209" si="143">SQRT(I174)*SQRT(H174^2+(J174^2)/12)</f>
        <v>10.655226182161682</v>
      </c>
      <c r="V174" s="409">
        <f t="shared" ref="V174:V209" si="144">RCinEsr*U174^2</f>
        <v>0.22706768998604765</v>
      </c>
      <c r="W174" s="407">
        <f t="shared" ref="W174:W209" si="145">V174</f>
        <v>0.22706768998604765</v>
      </c>
      <c r="X174" s="407">
        <f t="shared" ref="X174:X209" si="146">SQRT(I174)*SQRT(H174^2+(J174^2)/12)</f>
        <v>10.655226182161682</v>
      </c>
      <c r="Y174" s="407">
        <f t="shared" ref="Y174:Y209" si="147">RdsonTop*X174^2</f>
        <v>0.68120306995814295</v>
      </c>
      <c r="Z174" s="407">
        <f t="shared" si="124"/>
        <v>0.1659840593864578</v>
      </c>
      <c r="AA174" s="407">
        <f t="shared" si="125"/>
        <v>6.4512E-2</v>
      </c>
      <c r="AB174" s="407">
        <f t="shared" si="126"/>
        <v>0</v>
      </c>
      <c r="AC174" s="407">
        <f t="shared" ref="AC174:AC209" si="148">(AB174+AA174+Z174+Y174*(1+RdsonTopTc*Ta-RdsonTopTc*25))/(1-Y174*RdsonTopTc*ThetaJaTop)</f>
        <v>1.0555012705074844</v>
      </c>
      <c r="AD174" s="407">
        <f t="shared" ref="AD174:AD209" si="149">SQRT(1-I174)*SQRT(H174^2+(J174^2)/12)</f>
        <v>12.749494687984603</v>
      </c>
      <c r="AE174" s="407">
        <f t="shared" ref="AE174:AE209" si="150">RdsonBot*AD174^2</f>
        <v>0.97529768879368561</v>
      </c>
      <c r="AF174" s="407">
        <f t="shared" si="127"/>
        <v>0.22809599999999999</v>
      </c>
      <c r="AG174" s="407">
        <f t="shared" ref="AG174:AG209" si="151">(AF174+AE174*(1+RdsonBotTc*Ta-RdsonBotTc*25))/(1-AE174*RdsonBotTc*ThetaJaBot)</f>
        <v>1.4950095631209497</v>
      </c>
      <c r="AH174" s="407">
        <f t="shared" ref="AH174:AH209" si="152">IF(RDSON_sense=1, 0, AD174^2*Rshunt)</f>
        <v>0</v>
      </c>
      <c r="AI174">
        <f t="shared" si="128"/>
        <v>0</v>
      </c>
      <c r="AJ174" s="408">
        <f t="shared" si="129"/>
        <v>0.20161612799999998</v>
      </c>
      <c r="AK174">
        <f t="shared" si="134"/>
        <v>2.52E-2</v>
      </c>
      <c r="AL174" s="408">
        <f t="shared" si="130"/>
        <v>4.4160000000000005E-2</v>
      </c>
      <c r="AM174" s="408">
        <f t="shared" si="135"/>
        <v>4.9347355729984298E-2</v>
      </c>
      <c r="AN174" s="408">
        <f t="shared" ref="AN174:AN209" si="153">SUM(AK174:AL174)</f>
        <v>6.9360000000000005E-2</v>
      </c>
      <c r="AO174" s="408">
        <f t="shared" ref="AO174:AO209" si="154">SUM(Q174,T174,W174,AC174,AJ174,AI174,AG174,AN174, AH174)</f>
        <v>4.8041744239795081</v>
      </c>
      <c r="AP174">
        <f t="shared" si="131"/>
        <v>82.5</v>
      </c>
      <c r="AQ174" s="10">
        <f t="shared" ref="AQ174:AQ209" si="155">AP174/(AP174+AO174)</f>
        <v>0.94497199640593632</v>
      </c>
      <c r="AR174" s="63">
        <f t="shared" ref="AR174:AR209" si="156">ThetaJaTop*AC174</f>
        <v>52.775063525374222</v>
      </c>
      <c r="AS174" s="63">
        <f t="shared" ref="AS174:AS209" si="157">AG174*ThetaJaBot</f>
        <v>74.750478156047478</v>
      </c>
      <c r="AT174" s="10"/>
      <c r="AU174">
        <f t="shared" ref="AU174:AU209" si="158">AQ174*100</f>
        <v>94.497199640593635</v>
      </c>
    </row>
    <row r="175" spans="7:47" x14ac:dyDescent="0.2">
      <c r="G175">
        <v>166</v>
      </c>
      <c r="H175">
        <f t="shared" si="120"/>
        <v>16.599999999999998</v>
      </c>
      <c r="I175" s="407">
        <f t="shared" si="136"/>
        <v>0.4113174603174603</v>
      </c>
      <c r="J175" s="408">
        <f t="shared" si="121"/>
        <v>6.7838817239858891</v>
      </c>
      <c r="K175" s="408">
        <f t="shared" si="132"/>
        <v>19.991940861992944</v>
      </c>
      <c r="L175" s="408">
        <f t="shared" si="137"/>
        <v>13.208059138007053</v>
      </c>
      <c r="M175" s="63">
        <f t="shared" si="122"/>
        <v>0</v>
      </c>
      <c r="N175" s="407">
        <f t="shared" si="138"/>
        <v>16.715115542638419</v>
      </c>
      <c r="O175" s="407">
        <f t="shared" si="139"/>
        <v>1.5727419927564807</v>
      </c>
      <c r="P175">
        <f t="shared" si="123"/>
        <v>0.2</v>
      </c>
      <c r="Q175" s="407">
        <f t="shared" si="133"/>
        <v>1.7727419927564807</v>
      </c>
      <c r="R175" s="9">
        <f t="shared" si="140"/>
        <v>1.9583379697469179</v>
      </c>
      <c r="S175" s="9">
        <f t="shared" si="141"/>
        <v>3.8350876037524803E-3</v>
      </c>
      <c r="T175" s="9">
        <f t="shared" si="142"/>
        <v>3.8350876037524803E-3</v>
      </c>
      <c r="U175" s="407">
        <f t="shared" si="143"/>
        <v>10.720078258032904</v>
      </c>
      <c r="V175" s="409">
        <f t="shared" si="144"/>
        <v>0.22984015571669958</v>
      </c>
      <c r="W175" s="407">
        <f t="shared" si="145"/>
        <v>0.22984015571669958</v>
      </c>
      <c r="X175" s="407">
        <f t="shared" si="146"/>
        <v>10.720078258032904</v>
      </c>
      <c r="Y175" s="407">
        <f t="shared" si="147"/>
        <v>0.68952046715009874</v>
      </c>
      <c r="Z175" s="407">
        <f t="shared" si="124"/>
        <v>0.16697175273991702</v>
      </c>
      <c r="AA175" s="407">
        <f t="shared" si="125"/>
        <v>6.4512E-2</v>
      </c>
      <c r="AB175" s="407">
        <f t="shared" si="126"/>
        <v>0</v>
      </c>
      <c r="AC175" s="407">
        <f t="shared" si="148"/>
        <v>1.0683315079808393</v>
      </c>
      <c r="AD175" s="407">
        <f t="shared" si="149"/>
        <v>12.82478107982365</v>
      </c>
      <c r="AE175" s="407">
        <f t="shared" si="150"/>
        <v>0.98685005847241591</v>
      </c>
      <c r="AF175" s="407">
        <f t="shared" si="127"/>
        <v>0.22947839999999997</v>
      </c>
      <c r="AG175" s="407">
        <f t="shared" si="151"/>
        <v>1.5154286236429868</v>
      </c>
      <c r="AH175" s="407">
        <f t="shared" si="152"/>
        <v>0</v>
      </c>
      <c r="AI175">
        <f t="shared" si="128"/>
        <v>0</v>
      </c>
      <c r="AJ175" s="408">
        <f t="shared" si="129"/>
        <v>0.20160645119999998</v>
      </c>
      <c r="AK175">
        <f t="shared" si="134"/>
        <v>2.52E-2</v>
      </c>
      <c r="AL175" s="408">
        <f t="shared" si="130"/>
        <v>4.4160000000000005E-2</v>
      </c>
      <c r="AM175" s="408">
        <f t="shared" si="135"/>
        <v>4.9347355729984298E-2</v>
      </c>
      <c r="AN175" s="408">
        <f t="shared" si="153"/>
        <v>6.9360000000000005E-2</v>
      </c>
      <c r="AO175" s="408">
        <f t="shared" si="154"/>
        <v>4.861143818900759</v>
      </c>
      <c r="AP175">
        <f t="shared" si="131"/>
        <v>82.999999999999986</v>
      </c>
      <c r="AQ175" s="10">
        <f t="shared" si="155"/>
        <v>0.94467242733692902</v>
      </c>
      <c r="AR175" s="63">
        <f t="shared" si="156"/>
        <v>53.416575399041967</v>
      </c>
      <c r="AS175" s="63">
        <f t="shared" si="157"/>
        <v>75.771431182149342</v>
      </c>
      <c r="AT175" s="10"/>
      <c r="AU175">
        <f t="shared" si="158"/>
        <v>94.467242733692899</v>
      </c>
    </row>
    <row r="176" spans="7:47" x14ac:dyDescent="0.2">
      <c r="G176">
        <v>167</v>
      </c>
      <c r="H176">
        <f t="shared" si="120"/>
        <v>16.7</v>
      </c>
      <c r="I176" s="407">
        <f t="shared" si="136"/>
        <v>0.41140476190476194</v>
      </c>
      <c r="J176" s="408">
        <f t="shared" si="121"/>
        <v>6.7853215939153433</v>
      </c>
      <c r="K176" s="408">
        <f t="shared" si="132"/>
        <v>20.09266079695767</v>
      </c>
      <c r="L176" s="408">
        <f t="shared" si="137"/>
        <v>13.307339203042329</v>
      </c>
      <c r="M176" s="63">
        <f t="shared" si="122"/>
        <v>0</v>
      </c>
      <c r="N176" s="407">
        <f t="shared" si="138"/>
        <v>16.814479348498161</v>
      </c>
      <c r="O176" s="407">
        <f t="shared" si="139"/>
        <v>1.5938873986056488</v>
      </c>
      <c r="P176">
        <f t="shared" si="123"/>
        <v>0.2</v>
      </c>
      <c r="Q176" s="407">
        <f t="shared" si="133"/>
        <v>1.7938873986056487</v>
      </c>
      <c r="R176" s="9">
        <f t="shared" si="140"/>
        <v>1.958753624392602</v>
      </c>
      <c r="S176" s="9">
        <f t="shared" si="141"/>
        <v>3.836715761071155E-3</v>
      </c>
      <c r="T176" s="9">
        <f t="shared" si="142"/>
        <v>3.836715761071155E-3</v>
      </c>
      <c r="U176" s="407">
        <f t="shared" si="143"/>
        <v>10.784948640665785</v>
      </c>
      <c r="V176" s="409">
        <f t="shared" si="144"/>
        <v>0.23263023436359753</v>
      </c>
      <c r="W176" s="407">
        <f t="shared" si="145"/>
        <v>0.23263023436359753</v>
      </c>
      <c r="X176" s="407">
        <f t="shared" si="146"/>
        <v>10.784948640665785</v>
      </c>
      <c r="Y176" s="407">
        <f t="shared" si="147"/>
        <v>0.6978907030907926</v>
      </c>
      <c r="Z176" s="407">
        <f t="shared" si="124"/>
        <v>0.16795944609337632</v>
      </c>
      <c r="AA176" s="407">
        <f t="shared" si="125"/>
        <v>6.4512E-2</v>
      </c>
      <c r="AB176" s="407">
        <f t="shared" si="126"/>
        <v>0</v>
      </c>
      <c r="AC176" s="407">
        <f t="shared" si="148"/>
        <v>1.0812860447926964</v>
      </c>
      <c r="AD176" s="407">
        <f t="shared" si="149"/>
        <v>12.900061960288111</v>
      </c>
      <c r="AE176" s="407">
        <f t="shared" si="150"/>
        <v>0.99846959147563408</v>
      </c>
      <c r="AF176" s="407">
        <f t="shared" si="127"/>
        <v>0.23086079999999998</v>
      </c>
      <c r="AG176" s="407">
        <f t="shared" si="151"/>
        <v>1.5360752836674947</v>
      </c>
      <c r="AH176" s="407">
        <f t="shared" si="152"/>
        <v>0</v>
      </c>
      <c r="AI176">
        <f t="shared" si="128"/>
        <v>0</v>
      </c>
      <c r="AJ176" s="408">
        <f t="shared" si="129"/>
        <v>0.20159677440000001</v>
      </c>
      <c r="AK176">
        <f t="shared" si="134"/>
        <v>2.52E-2</v>
      </c>
      <c r="AL176" s="408">
        <f t="shared" si="130"/>
        <v>4.4160000000000005E-2</v>
      </c>
      <c r="AM176" s="408">
        <f t="shared" si="135"/>
        <v>4.9347355729984298E-2</v>
      </c>
      <c r="AN176" s="408">
        <f t="shared" si="153"/>
        <v>6.9360000000000005E-2</v>
      </c>
      <c r="AO176" s="408">
        <f t="shared" si="154"/>
        <v>4.918672451590508</v>
      </c>
      <c r="AP176">
        <f t="shared" si="131"/>
        <v>83.5</v>
      </c>
      <c r="AQ176" s="10">
        <f t="shared" si="155"/>
        <v>0.94437065932783038</v>
      </c>
      <c r="AR176" s="63">
        <f t="shared" si="156"/>
        <v>54.06430223963482</v>
      </c>
      <c r="AS176" s="63">
        <f t="shared" si="157"/>
        <v>76.803764183374739</v>
      </c>
      <c r="AT176" s="10"/>
      <c r="AU176">
        <f t="shared" si="158"/>
        <v>94.437065932783042</v>
      </c>
    </row>
    <row r="177" spans="7:47" x14ac:dyDescent="0.2">
      <c r="G177">
        <v>168</v>
      </c>
      <c r="H177">
        <f t="shared" si="120"/>
        <v>16.8</v>
      </c>
      <c r="I177" s="407">
        <f t="shared" si="136"/>
        <v>0.41149206349206346</v>
      </c>
      <c r="J177" s="408">
        <f t="shared" si="121"/>
        <v>6.7867614638447957</v>
      </c>
      <c r="K177" s="408">
        <f t="shared" si="132"/>
        <v>20.193380731922399</v>
      </c>
      <c r="L177" s="408">
        <f t="shared" si="137"/>
        <v>13.406619268077602</v>
      </c>
      <c r="M177" s="63">
        <f t="shared" si="122"/>
        <v>0</v>
      </c>
      <c r="N177" s="407">
        <f t="shared" si="138"/>
        <v>16.913850663403867</v>
      </c>
      <c r="O177" s="407">
        <f t="shared" si="139"/>
        <v>1.6152239597250657</v>
      </c>
      <c r="P177">
        <f t="shared" si="123"/>
        <v>0.2</v>
      </c>
      <c r="Q177" s="407">
        <f t="shared" si="133"/>
        <v>1.8152239597250657</v>
      </c>
      <c r="R177" s="9">
        <f t="shared" si="140"/>
        <v>1.9591692790382857</v>
      </c>
      <c r="S177" s="9">
        <f t="shared" si="141"/>
        <v>3.8383442639273965E-3</v>
      </c>
      <c r="T177" s="9">
        <f t="shared" si="142"/>
        <v>3.8383442639273965E-3</v>
      </c>
      <c r="U177" s="407">
        <f t="shared" si="143"/>
        <v>10.849837243090626</v>
      </c>
      <c r="V177" s="409">
        <f t="shared" si="144"/>
        <v>0.23543793640311278</v>
      </c>
      <c r="W177" s="407">
        <f t="shared" si="145"/>
        <v>0.23543793640311278</v>
      </c>
      <c r="X177" s="407">
        <f t="shared" si="146"/>
        <v>10.849837243090626</v>
      </c>
      <c r="Y177" s="407">
        <f t="shared" si="147"/>
        <v>0.70631380920933839</v>
      </c>
      <c r="Z177" s="407">
        <f t="shared" si="124"/>
        <v>0.16894713944683562</v>
      </c>
      <c r="AA177" s="407">
        <f t="shared" si="125"/>
        <v>6.4512E-2</v>
      </c>
      <c r="AB177" s="407">
        <f t="shared" si="126"/>
        <v>0</v>
      </c>
      <c r="AC177" s="407">
        <f t="shared" si="148"/>
        <v>1.0943661307524659</v>
      </c>
      <c r="AD177" s="407">
        <f t="shared" si="149"/>
        <v>12.975337223454773</v>
      </c>
      <c r="AE177" s="407">
        <f t="shared" si="150"/>
        <v>1.0101562563742261</v>
      </c>
      <c r="AF177" s="407">
        <f t="shared" si="127"/>
        <v>0.23224320000000001</v>
      </c>
      <c r="AG177" s="407">
        <f t="shared" si="151"/>
        <v>1.556952522713577</v>
      </c>
      <c r="AH177" s="407">
        <f t="shared" si="152"/>
        <v>0</v>
      </c>
      <c r="AI177">
        <f t="shared" si="128"/>
        <v>0</v>
      </c>
      <c r="AJ177" s="408">
        <f t="shared" si="129"/>
        <v>0.20158709760000001</v>
      </c>
      <c r="AK177">
        <f t="shared" si="134"/>
        <v>2.52E-2</v>
      </c>
      <c r="AL177" s="408">
        <f t="shared" si="130"/>
        <v>4.4160000000000005E-2</v>
      </c>
      <c r="AM177" s="408">
        <f t="shared" si="135"/>
        <v>4.9347355729984298E-2</v>
      </c>
      <c r="AN177" s="408">
        <f t="shared" si="153"/>
        <v>6.9360000000000005E-2</v>
      </c>
      <c r="AO177" s="408">
        <f t="shared" si="154"/>
        <v>4.9767659914581488</v>
      </c>
      <c r="AP177">
        <f t="shared" si="131"/>
        <v>84</v>
      </c>
      <c r="AQ177" s="10">
        <f t="shared" si="155"/>
        <v>0.94406667925044696</v>
      </c>
      <c r="AR177" s="63">
        <f t="shared" si="156"/>
        <v>54.718306537623299</v>
      </c>
      <c r="AS177" s="63">
        <f t="shared" si="157"/>
        <v>77.847626135678851</v>
      </c>
      <c r="AT177" s="10"/>
      <c r="AU177">
        <f t="shared" si="158"/>
        <v>94.406667925044701</v>
      </c>
    </row>
    <row r="178" spans="7:47" x14ac:dyDescent="0.2">
      <c r="G178">
        <v>169</v>
      </c>
      <c r="H178">
        <f t="shared" si="120"/>
        <v>16.899999999999999</v>
      </c>
      <c r="I178" s="407">
        <f t="shared" si="136"/>
        <v>0.4115793650793651</v>
      </c>
      <c r="J178" s="408">
        <f t="shared" si="121"/>
        <v>6.7882013337742499</v>
      </c>
      <c r="K178" s="408">
        <f t="shared" si="132"/>
        <v>20.294100666887125</v>
      </c>
      <c r="L178" s="408">
        <f t="shared" si="137"/>
        <v>13.505899333112874</v>
      </c>
      <c r="M178" s="63">
        <f t="shared" si="122"/>
        <v>0</v>
      </c>
      <c r="N178" s="407">
        <f t="shared" si="138"/>
        <v>17.013229355778439</v>
      </c>
      <c r="O178" s="407">
        <f t="shared" si="139"/>
        <v>1.6367531247406859</v>
      </c>
      <c r="P178">
        <f t="shared" si="123"/>
        <v>0.2</v>
      </c>
      <c r="Q178" s="407">
        <f t="shared" si="133"/>
        <v>1.8367531247406859</v>
      </c>
      <c r="R178" s="9">
        <f t="shared" si="140"/>
        <v>1.9595849336839701</v>
      </c>
      <c r="S178" s="9">
        <f t="shared" si="141"/>
        <v>3.8399731123212096E-3</v>
      </c>
      <c r="T178" s="9">
        <f t="shared" si="142"/>
        <v>3.8399731123212096E-3</v>
      </c>
      <c r="U178" s="407">
        <f t="shared" si="143"/>
        <v>10.914743980314356</v>
      </c>
      <c r="V178" s="409">
        <f t="shared" si="144"/>
        <v>0.23826327231161692</v>
      </c>
      <c r="W178" s="407">
        <f t="shared" si="145"/>
        <v>0.23826327231161692</v>
      </c>
      <c r="X178" s="407">
        <f t="shared" si="146"/>
        <v>10.914743980314356</v>
      </c>
      <c r="Y178" s="407">
        <f t="shared" si="147"/>
        <v>0.71478981693485077</v>
      </c>
      <c r="Z178" s="407">
        <f t="shared" si="124"/>
        <v>0.16993483280029487</v>
      </c>
      <c r="AA178" s="407">
        <f t="shared" si="125"/>
        <v>6.4512E-2</v>
      </c>
      <c r="AB178" s="407">
        <f t="shared" si="126"/>
        <v>0</v>
      </c>
      <c r="AC178" s="407">
        <f t="shared" si="148"/>
        <v>1.1075730351412663</v>
      </c>
      <c r="AD178" s="407">
        <f t="shared" si="149"/>
        <v>13.050606765837088</v>
      </c>
      <c r="AE178" s="407">
        <f t="shared" si="150"/>
        <v>1.0219100217390766</v>
      </c>
      <c r="AF178" s="407">
        <f t="shared" si="127"/>
        <v>0.23362559999999996</v>
      </c>
      <c r="AG178" s="407">
        <f t="shared" si="151"/>
        <v>1.5780633779027178</v>
      </c>
      <c r="AH178" s="407">
        <f t="shared" si="152"/>
        <v>0</v>
      </c>
      <c r="AI178">
        <f t="shared" si="128"/>
        <v>0</v>
      </c>
      <c r="AJ178" s="408">
        <f t="shared" si="129"/>
        <v>0.20157742079999999</v>
      </c>
      <c r="AK178">
        <f t="shared" si="134"/>
        <v>2.52E-2</v>
      </c>
      <c r="AL178" s="408">
        <f t="shared" si="130"/>
        <v>4.4160000000000005E-2</v>
      </c>
      <c r="AM178" s="408">
        <f t="shared" si="135"/>
        <v>4.9347355729984298E-2</v>
      </c>
      <c r="AN178" s="408">
        <f t="shared" si="153"/>
        <v>6.9360000000000005E-2</v>
      </c>
      <c r="AO178" s="408">
        <f t="shared" si="154"/>
        <v>5.0354302040086081</v>
      </c>
      <c r="AP178">
        <f t="shared" si="131"/>
        <v>84.5</v>
      </c>
      <c r="AQ178" s="10">
        <f t="shared" si="155"/>
        <v>0.94376047345128899</v>
      </c>
      <c r="AR178" s="63">
        <f t="shared" si="156"/>
        <v>55.378651757063309</v>
      </c>
      <c r="AS178" s="63">
        <f t="shared" si="157"/>
        <v>78.903168895135892</v>
      </c>
      <c r="AT178" s="10"/>
      <c r="AU178">
        <f t="shared" si="158"/>
        <v>94.376047345128896</v>
      </c>
    </row>
    <row r="179" spans="7:47" x14ac:dyDescent="0.2">
      <c r="G179">
        <v>170</v>
      </c>
      <c r="H179">
        <f t="shared" si="120"/>
        <v>17</v>
      </c>
      <c r="I179" s="407">
        <f t="shared" si="136"/>
        <v>0.41166666666666668</v>
      </c>
      <c r="J179" s="408">
        <f t="shared" si="121"/>
        <v>6.7896412037037033</v>
      </c>
      <c r="K179" s="408">
        <f t="shared" si="132"/>
        <v>20.394820601851851</v>
      </c>
      <c r="L179" s="408">
        <f t="shared" si="137"/>
        <v>13.605179398148149</v>
      </c>
      <c r="M179" s="63">
        <f t="shared" si="122"/>
        <v>0</v>
      </c>
      <c r="N179" s="407">
        <f t="shared" si="138"/>
        <v>17.112615297091576</v>
      </c>
      <c r="O179" s="407">
        <f t="shared" si="139"/>
        <v>1.6584763615756004</v>
      </c>
      <c r="P179">
        <f t="shared" si="123"/>
        <v>0.2</v>
      </c>
      <c r="Q179" s="407">
        <f t="shared" si="133"/>
        <v>1.8584763615756004</v>
      </c>
      <c r="R179" s="9">
        <f t="shared" si="140"/>
        <v>1.9600005883296541</v>
      </c>
      <c r="S179" s="9">
        <f t="shared" si="141"/>
        <v>3.8416023062525901E-3</v>
      </c>
      <c r="T179" s="9">
        <f t="shared" si="142"/>
        <v>3.8416023062525901E-3</v>
      </c>
      <c r="U179" s="407">
        <f t="shared" si="143"/>
        <v>10.979668769263517</v>
      </c>
      <c r="V179" s="409">
        <f t="shared" si="144"/>
        <v>0.24110625256548127</v>
      </c>
      <c r="W179" s="407">
        <f t="shared" si="145"/>
        <v>0.24110625256548127</v>
      </c>
      <c r="X179" s="407">
        <f t="shared" si="146"/>
        <v>10.979668769263517</v>
      </c>
      <c r="Y179" s="407">
        <f t="shared" si="147"/>
        <v>0.72331875769644383</v>
      </c>
      <c r="Z179" s="407">
        <f t="shared" si="124"/>
        <v>0.17092252615375414</v>
      </c>
      <c r="AA179" s="407">
        <f t="shared" si="125"/>
        <v>6.4512E-2</v>
      </c>
      <c r="AB179" s="407">
        <f t="shared" si="126"/>
        <v>0</v>
      </c>
      <c r="AC179" s="407">
        <f t="shared" si="148"/>
        <v>1.1209080470699087</v>
      </c>
      <c r="AD179" s="407">
        <f t="shared" si="149"/>
        <v>13.125870486314879</v>
      </c>
      <c r="AE179" s="407">
        <f t="shared" si="150"/>
        <v>1.0337308561410721</v>
      </c>
      <c r="AF179" s="407">
        <f t="shared" si="127"/>
        <v>0.23500799999999999</v>
      </c>
      <c r="AG179" s="407">
        <f t="shared" si="151"/>
        <v>1.5994109453029577</v>
      </c>
      <c r="AH179" s="407">
        <f t="shared" si="152"/>
        <v>0</v>
      </c>
      <c r="AI179">
        <f t="shared" si="128"/>
        <v>0</v>
      </c>
      <c r="AJ179" s="408">
        <f t="shared" si="129"/>
        <v>0.20156774399999999</v>
      </c>
      <c r="AK179">
        <f t="shared" si="134"/>
        <v>2.52E-2</v>
      </c>
      <c r="AL179" s="408">
        <f t="shared" si="130"/>
        <v>4.4160000000000005E-2</v>
      </c>
      <c r="AM179" s="408">
        <f t="shared" si="135"/>
        <v>4.9347355729984298E-2</v>
      </c>
      <c r="AN179" s="408">
        <f t="shared" si="153"/>
        <v>6.9360000000000005E-2</v>
      </c>
      <c r="AO179" s="408">
        <f t="shared" si="154"/>
        <v>5.0946709528202003</v>
      </c>
      <c r="AP179">
        <f t="shared" si="131"/>
        <v>85</v>
      </c>
      <c r="AQ179" s="10">
        <f t="shared" si="155"/>
        <v>0.94345202775102965</v>
      </c>
      <c r="AR179" s="63">
        <f t="shared" si="156"/>
        <v>56.045402353495433</v>
      </c>
      <c r="AS179" s="63">
        <f t="shared" si="157"/>
        <v>79.970547265147886</v>
      </c>
      <c r="AT179" s="10"/>
      <c r="AU179">
        <f t="shared" si="158"/>
        <v>94.345202775102962</v>
      </c>
    </row>
    <row r="180" spans="7:47" x14ac:dyDescent="0.2">
      <c r="G180">
        <v>171</v>
      </c>
      <c r="H180">
        <f t="shared" si="120"/>
        <v>17.100000000000001</v>
      </c>
      <c r="I180" s="407">
        <f t="shared" si="136"/>
        <v>0.41175396825396821</v>
      </c>
      <c r="J180" s="408">
        <f t="shared" si="121"/>
        <v>6.7910810736331557</v>
      </c>
      <c r="K180" s="408">
        <f t="shared" si="132"/>
        <v>20.495540536816581</v>
      </c>
      <c r="L180" s="408">
        <f t="shared" si="137"/>
        <v>13.704459463183424</v>
      </c>
      <c r="M180" s="63">
        <f t="shared" si="122"/>
        <v>0</v>
      </c>
      <c r="N180" s="407">
        <f t="shared" si="138"/>
        <v>17.212008361772359</v>
      </c>
      <c r="O180" s="407">
        <f t="shared" si="139"/>
        <v>1.6803951577308776</v>
      </c>
      <c r="P180">
        <f t="shared" si="123"/>
        <v>0.2</v>
      </c>
      <c r="Q180" s="407">
        <f t="shared" si="133"/>
        <v>1.8803951577308775</v>
      </c>
      <c r="R180" s="9">
        <f t="shared" si="140"/>
        <v>1.9604162429753378</v>
      </c>
      <c r="S180" s="9">
        <f t="shared" si="141"/>
        <v>3.8432318457215387E-3</v>
      </c>
      <c r="T180" s="9">
        <f t="shared" si="142"/>
        <v>3.8432318457215387E-3</v>
      </c>
      <c r="U180" s="407">
        <f t="shared" si="143"/>
        <v>11.044611528729234</v>
      </c>
      <c r="V180" s="409">
        <f t="shared" si="144"/>
        <v>0.24396688764107743</v>
      </c>
      <c r="W180" s="407">
        <f t="shared" si="145"/>
        <v>0.24396688764107743</v>
      </c>
      <c r="X180" s="407">
        <f t="shared" si="146"/>
        <v>11.044611528729234</v>
      </c>
      <c r="Y180" s="407">
        <f t="shared" si="147"/>
        <v>0.7319006629232323</v>
      </c>
      <c r="Z180" s="407">
        <f t="shared" si="124"/>
        <v>0.17191021950721347</v>
      </c>
      <c r="AA180" s="407">
        <f t="shared" si="125"/>
        <v>6.4512E-2</v>
      </c>
      <c r="AB180" s="407">
        <f t="shared" si="126"/>
        <v>0</v>
      </c>
      <c r="AC180" s="407">
        <f t="shared" si="148"/>
        <v>1.1343724758450122</v>
      </c>
      <c r="AD180" s="407">
        <f t="shared" si="149"/>
        <v>13.201128286066417</v>
      </c>
      <c r="AE180" s="407">
        <f t="shared" si="150"/>
        <v>1.0456187281510971</v>
      </c>
      <c r="AF180" s="407">
        <f t="shared" si="127"/>
        <v>0.2363904</v>
      </c>
      <c r="AG180" s="407">
        <f t="shared" si="151"/>
        <v>1.6209983813114759</v>
      </c>
      <c r="AH180" s="407">
        <f t="shared" si="152"/>
        <v>0</v>
      </c>
      <c r="AI180">
        <f t="shared" si="128"/>
        <v>0</v>
      </c>
      <c r="AJ180" s="408">
        <f t="shared" si="129"/>
        <v>0.2015580672</v>
      </c>
      <c r="AK180">
        <f t="shared" si="134"/>
        <v>2.52E-2</v>
      </c>
      <c r="AL180" s="408">
        <f t="shared" si="130"/>
        <v>4.4160000000000005E-2</v>
      </c>
      <c r="AM180" s="408">
        <f t="shared" si="135"/>
        <v>4.9347355729984298E-2</v>
      </c>
      <c r="AN180" s="408">
        <f t="shared" si="153"/>
        <v>6.9360000000000005E-2</v>
      </c>
      <c r="AO180" s="408">
        <f t="shared" si="154"/>
        <v>5.154494201574165</v>
      </c>
      <c r="AP180">
        <f t="shared" si="131"/>
        <v>85.5</v>
      </c>
      <c r="AQ180" s="10">
        <f t="shared" si="155"/>
        <v>0.94314132744359114</v>
      </c>
      <c r="AR180" s="63">
        <f t="shared" si="156"/>
        <v>56.718623792250611</v>
      </c>
      <c r="AS180" s="63">
        <f t="shared" si="157"/>
        <v>81.049919065573789</v>
      </c>
      <c r="AT180" s="10"/>
      <c r="AU180">
        <f t="shared" si="158"/>
        <v>94.314132744359114</v>
      </c>
    </row>
    <row r="181" spans="7:47" x14ac:dyDescent="0.2">
      <c r="G181">
        <v>172</v>
      </c>
      <c r="H181">
        <f t="shared" si="120"/>
        <v>17.2</v>
      </c>
      <c r="I181" s="407">
        <f t="shared" si="136"/>
        <v>0.4118412698412699</v>
      </c>
      <c r="J181" s="408">
        <f t="shared" si="121"/>
        <v>6.7925209435626108</v>
      </c>
      <c r="K181" s="408">
        <f t="shared" si="132"/>
        <v>20.596260471781306</v>
      </c>
      <c r="L181" s="408">
        <f t="shared" si="137"/>
        <v>13.803739528218694</v>
      </c>
      <c r="M181" s="63">
        <f t="shared" si="122"/>
        <v>0</v>
      </c>
      <c r="N181" s="407">
        <f t="shared" si="138"/>
        <v>17.311408427124814</v>
      </c>
      <c r="O181" s="407">
        <f t="shared" si="139"/>
        <v>1.702511020571664</v>
      </c>
      <c r="P181">
        <f t="shared" si="123"/>
        <v>0.2</v>
      </c>
      <c r="Q181" s="407">
        <f t="shared" si="133"/>
        <v>1.902511020571664</v>
      </c>
      <c r="R181" s="9">
        <f t="shared" si="140"/>
        <v>1.9608318976210222</v>
      </c>
      <c r="S181" s="9">
        <f t="shared" si="141"/>
        <v>3.844861730728059E-3</v>
      </c>
      <c r="T181" s="9">
        <f t="shared" si="142"/>
        <v>3.844861730728059E-3</v>
      </c>
      <c r="U181" s="407">
        <f t="shared" si="143"/>
        <v>11.109572179314036</v>
      </c>
      <c r="V181" s="409">
        <f t="shared" si="144"/>
        <v>0.24684518801477684</v>
      </c>
      <c r="W181" s="407">
        <f t="shared" si="145"/>
        <v>0.24684518801477684</v>
      </c>
      <c r="X181" s="407">
        <f t="shared" si="146"/>
        <v>11.109572179314036</v>
      </c>
      <c r="Y181" s="407">
        <f t="shared" si="147"/>
        <v>0.74053556404433052</v>
      </c>
      <c r="Z181" s="407">
        <f t="shared" si="124"/>
        <v>0.17289791286067269</v>
      </c>
      <c r="AA181" s="407">
        <f t="shared" si="125"/>
        <v>6.4512E-2</v>
      </c>
      <c r="AB181" s="407">
        <f t="shared" si="126"/>
        <v>0</v>
      </c>
      <c r="AC181" s="407">
        <f t="shared" si="148"/>
        <v>1.1479676513434578</v>
      </c>
      <c r="AD181" s="407">
        <f t="shared" si="149"/>
        <v>13.276380068502846</v>
      </c>
      <c r="AE181" s="407">
        <f t="shared" si="150"/>
        <v>1.0575736063400378</v>
      </c>
      <c r="AF181" s="407">
        <f t="shared" si="127"/>
        <v>0.23777279999999998</v>
      </c>
      <c r="AG181" s="407">
        <f t="shared" si="151"/>
        <v>1.6428289040768866</v>
      </c>
      <c r="AH181" s="407">
        <f t="shared" si="152"/>
        <v>0</v>
      </c>
      <c r="AI181">
        <f t="shared" si="128"/>
        <v>0</v>
      </c>
      <c r="AJ181" s="408">
        <f t="shared" si="129"/>
        <v>0.2015483904</v>
      </c>
      <c r="AK181">
        <f t="shared" si="134"/>
        <v>2.52E-2</v>
      </c>
      <c r="AL181" s="408">
        <f t="shared" si="130"/>
        <v>4.4160000000000005E-2</v>
      </c>
      <c r="AM181" s="408">
        <f t="shared" si="135"/>
        <v>4.9347355729984298E-2</v>
      </c>
      <c r="AN181" s="408">
        <f t="shared" si="153"/>
        <v>6.9360000000000005E-2</v>
      </c>
      <c r="AO181" s="408">
        <f t="shared" si="154"/>
        <v>5.2149060161375136</v>
      </c>
      <c r="AP181">
        <f t="shared" si="131"/>
        <v>86</v>
      </c>
      <c r="AQ181" s="10">
        <f t="shared" si="155"/>
        <v>0.94282835729486025</v>
      </c>
      <c r="AR181" s="63">
        <f t="shared" si="156"/>
        <v>57.398382567172888</v>
      </c>
      <c r="AS181" s="63">
        <f t="shared" si="157"/>
        <v>82.141445203844327</v>
      </c>
      <c r="AT181" s="10"/>
      <c r="AU181">
        <f t="shared" si="158"/>
        <v>94.282835729486024</v>
      </c>
    </row>
    <row r="182" spans="7:47" x14ac:dyDescent="0.2">
      <c r="G182">
        <v>173</v>
      </c>
      <c r="H182">
        <f t="shared" si="120"/>
        <v>17.3</v>
      </c>
      <c r="I182" s="407">
        <f t="shared" si="136"/>
        <v>0.41192857142857142</v>
      </c>
      <c r="J182" s="408">
        <f t="shared" si="121"/>
        <v>6.7939608134920624</v>
      </c>
      <c r="K182" s="408">
        <f t="shared" si="132"/>
        <v>20.696980406746032</v>
      </c>
      <c r="L182" s="408">
        <f t="shared" si="137"/>
        <v>13.903019593253969</v>
      </c>
      <c r="M182" s="63">
        <f t="shared" si="122"/>
        <v>0</v>
      </c>
      <c r="N182" s="407">
        <f t="shared" si="138"/>
        <v>17.410815373246372</v>
      </c>
      <c r="O182" s="407">
        <f t="shared" si="139"/>
        <v>1.7248254776186598</v>
      </c>
      <c r="P182">
        <f t="shared" si="123"/>
        <v>0.2</v>
      </c>
      <c r="Q182" s="407">
        <f t="shared" si="133"/>
        <v>1.9248254776186597</v>
      </c>
      <c r="R182" s="9">
        <f t="shared" si="140"/>
        <v>1.9612475522667057</v>
      </c>
      <c r="S182" s="9">
        <f t="shared" si="141"/>
        <v>3.8464919612721444E-3</v>
      </c>
      <c r="T182" s="9">
        <f t="shared" si="142"/>
        <v>3.8464919612721444E-3</v>
      </c>
      <c r="U182" s="407">
        <f t="shared" si="143"/>
        <v>11.174550643380497</v>
      </c>
      <c r="V182" s="409">
        <f t="shared" si="144"/>
        <v>0.24974116416295097</v>
      </c>
      <c r="W182" s="407">
        <f t="shared" si="145"/>
        <v>0.24974116416295097</v>
      </c>
      <c r="X182" s="407">
        <f t="shared" si="146"/>
        <v>11.174550643380497</v>
      </c>
      <c r="Y182" s="407">
        <f t="shared" si="147"/>
        <v>0.749223492488853</v>
      </c>
      <c r="Z182" s="407">
        <f t="shared" si="124"/>
        <v>0.17388560621413193</v>
      </c>
      <c r="AA182" s="407">
        <f t="shared" si="125"/>
        <v>6.4512E-2</v>
      </c>
      <c r="AB182" s="407">
        <f t="shared" si="126"/>
        <v>0</v>
      </c>
      <c r="AC182" s="407">
        <f t="shared" si="148"/>
        <v>1.1616949243954049</v>
      </c>
      <c r="AD182" s="407">
        <f t="shared" si="149"/>
        <v>13.351625739204822</v>
      </c>
      <c r="AE182" s="407">
        <f t="shared" si="150"/>
        <v>1.0695954592787802</v>
      </c>
      <c r="AF182" s="407">
        <f t="shared" si="127"/>
        <v>0.23915520000000001</v>
      </c>
      <c r="AG182" s="407">
        <f t="shared" si="151"/>
        <v>1.6649057949625559</v>
      </c>
      <c r="AH182" s="407">
        <f t="shared" si="152"/>
        <v>0</v>
      </c>
      <c r="AI182">
        <f t="shared" si="128"/>
        <v>0</v>
      </c>
      <c r="AJ182" s="408">
        <f t="shared" si="129"/>
        <v>0.2015387136</v>
      </c>
      <c r="AK182">
        <f t="shared" si="134"/>
        <v>2.52E-2</v>
      </c>
      <c r="AL182" s="408">
        <f t="shared" si="130"/>
        <v>4.4160000000000005E-2</v>
      </c>
      <c r="AM182" s="408">
        <f t="shared" si="135"/>
        <v>4.9347355729984298E-2</v>
      </c>
      <c r="AN182" s="408">
        <f t="shared" si="153"/>
        <v>6.9360000000000005E-2</v>
      </c>
      <c r="AO182" s="408">
        <f t="shared" si="154"/>
        <v>5.2759125667008435</v>
      </c>
      <c r="AP182">
        <f t="shared" si="131"/>
        <v>86.5</v>
      </c>
      <c r="AQ182" s="10">
        <f t="shared" si="155"/>
        <v>0.9425131015410344</v>
      </c>
      <c r="AR182" s="63">
        <f t="shared" si="156"/>
        <v>58.084746219770246</v>
      </c>
      <c r="AS182" s="63">
        <f t="shared" si="157"/>
        <v>83.245289748127789</v>
      </c>
      <c r="AT182" s="10"/>
      <c r="AU182">
        <f t="shared" si="158"/>
        <v>94.251310154103436</v>
      </c>
    </row>
    <row r="183" spans="7:47" x14ac:dyDescent="0.2">
      <c r="G183">
        <v>174</v>
      </c>
      <c r="H183">
        <f t="shared" si="120"/>
        <v>17.399999999999999</v>
      </c>
      <c r="I183" s="407">
        <f t="shared" si="136"/>
        <v>0.412015873015873</v>
      </c>
      <c r="J183" s="408">
        <f t="shared" si="121"/>
        <v>6.7954006834215157</v>
      </c>
      <c r="K183" s="408">
        <f t="shared" si="132"/>
        <v>20.797700341710758</v>
      </c>
      <c r="L183" s="408">
        <f t="shared" si="137"/>
        <v>14.002299658289241</v>
      </c>
      <c r="M183" s="63">
        <f t="shared" si="122"/>
        <v>0</v>
      </c>
      <c r="N183" s="407">
        <f t="shared" si="138"/>
        <v>17.510229082949021</v>
      </c>
      <c r="O183" s="407">
        <f t="shared" si="139"/>
        <v>1.7473400768450649</v>
      </c>
      <c r="P183">
        <f t="shared" si="123"/>
        <v>0.2</v>
      </c>
      <c r="Q183" s="407">
        <f t="shared" si="133"/>
        <v>1.9473400768450648</v>
      </c>
      <c r="R183" s="9">
        <f t="shared" si="140"/>
        <v>1.9616632069123896</v>
      </c>
      <c r="S183" s="9">
        <f t="shared" si="141"/>
        <v>3.8481225373538006E-3</v>
      </c>
      <c r="T183" s="9">
        <f t="shared" si="142"/>
        <v>3.8481225373538006E-3</v>
      </c>
      <c r="U183" s="407">
        <f t="shared" si="143"/>
        <v>11.239546845001607</v>
      </c>
      <c r="V183" s="409">
        <f t="shared" si="144"/>
        <v>0.25265482656197119</v>
      </c>
      <c r="W183" s="407">
        <f t="shared" si="145"/>
        <v>0.25265482656197119</v>
      </c>
      <c r="X183" s="407">
        <f t="shared" si="146"/>
        <v>11.239546845001607</v>
      </c>
      <c r="Y183" s="407">
        <f t="shared" si="147"/>
        <v>0.75796447968591352</v>
      </c>
      <c r="Z183" s="407">
        <f t="shared" si="124"/>
        <v>0.17487329956759121</v>
      </c>
      <c r="AA183" s="407">
        <f t="shared" si="125"/>
        <v>6.4512E-2</v>
      </c>
      <c r="AB183" s="407">
        <f t="shared" si="126"/>
        <v>0</v>
      </c>
      <c r="AC183" s="407">
        <f t="shared" si="148"/>
        <v>1.1755556671760961</v>
      </c>
      <c r="AD183" s="407">
        <f t="shared" si="149"/>
        <v>13.426865205861276</v>
      </c>
      <c r="AE183" s="407">
        <f t="shared" si="150"/>
        <v>1.0816842555382091</v>
      </c>
      <c r="AF183" s="407">
        <f t="shared" si="127"/>
        <v>0.24053759999999996</v>
      </c>
      <c r="AG183" s="407">
        <f t="shared" si="151"/>
        <v>1.687232400052316</v>
      </c>
      <c r="AH183" s="407">
        <f t="shared" si="152"/>
        <v>0</v>
      </c>
      <c r="AI183">
        <f t="shared" si="128"/>
        <v>0</v>
      </c>
      <c r="AJ183" s="408">
        <f t="shared" si="129"/>
        <v>0.20152903680000001</v>
      </c>
      <c r="AK183">
        <f t="shared" si="134"/>
        <v>2.52E-2</v>
      </c>
      <c r="AL183" s="408">
        <f t="shared" si="130"/>
        <v>4.4160000000000005E-2</v>
      </c>
      <c r="AM183" s="408">
        <f t="shared" si="135"/>
        <v>4.9347355729984298E-2</v>
      </c>
      <c r="AN183" s="408">
        <f t="shared" si="153"/>
        <v>6.9360000000000005E-2</v>
      </c>
      <c r="AO183" s="408">
        <f t="shared" si="154"/>
        <v>5.3375201299728019</v>
      </c>
      <c r="AP183">
        <f t="shared" si="131"/>
        <v>87</v>
      </c>
      <c r="AQ183" s="10">
        <f t="shared" si="155"/>
        <v>0.94219554388660431</v>
      </c>
      <c r="AR183" s="63">
        <f t="shared" si="156"/>
        <v>58.777783358804804</v>
      </c>
      <c r="AS183" s="63">
        <f t="shared" si="157"/>
        <v>84.361620002615794</v>
      </c>
      <c r="AT183" s="10"/>
      <c r="AU183">
        <f t="shared" si="158"/>
        <v>94.219554388660427</v>
      </c>
    </row>
    <row r="184" spans="7:47" x14ac:dyDescent="0.2">
      <c r="G184">
        <v>175</v>
      </c>
      <c r="H184">
        <f t="shared" si="120"/>
        <v>17.5</v>
      </c>
      <c r="I184" s="407">
        <f t="shared" si="136"/>
        <v>0.41210317460317469</v>
      </c>
      <c r="J184" s="408">
        <f t="shared" si="121"/>
        <v>6.7968405533509699</v>
      </c>
      <c r="K184" s="408">
        <f t="shared" si="132"/>
        <v>20.898420276675484</v>
      </c>
      <c r="L184" s="408">
        <f t="shared" si="137"/>
        <v>14.101579723324516</v>
      </c>
      <c r="M184" s="63">
        <f t="shared" si="122"/>
        <v>0</v>
      </c>
      <c r="N184" s="407">
        <f t="shared" si="138"/>
        <v>17.609649441683189</v>
      </c>
      <c r="O184" s="407">
        <f t="shared" si="139"/>
        <v>1.7700563869791515</v>
      </c>
      <c r="P184">
        <f t="shared" si="123"/>
        <v>0.2</v>
      </c>
      <c r="Q184" s="407">
        <f t="shared" si="133"/>
        <v>1.9700563869791514</v>
      </c>
      <c r="R184" s="9">
        <f t="shared" si="140"/>
        <v>1.9620788615580738</v>
      </c>
      <c r="S184" s="9">
        <f t="shared" si="141"/>
        <v>3.8497534589730271E-3</v>
      </c>
      <c r="T184" s="9">
        <f t="shared" si="142"/>
        <v>3.8497534589730271E-3</v>
      </c>
      <c r="U184" s="407">
        <f t="shared" si="143"/>
        <v>11.304560709912817</v>
      </c>
      <c r="V184" s="409">
        <f t="shared" si="144"/>
        <v>0.25558618568820918</v>
      </c>
      <c r="W184" s="407">
        <f t="shared" si="145"/>
        <v>0.25558618568820918</v>
      </c>
      <c r="X184" s="407">
        <f t="shared" si="146"/>
        <v>11.304560709912817</v>
      </c>
      <c r="Y184" s="407">
        <f t="shared" si="147"/>
        <v>0.76675855706462748</v>
      </c>
      <c r="Z184" s="407">
        <f t="shared" si="124"/>
        <v>0.17586099292105048</v>
      </c>
      <c r="AA184" s="407">
        <f t="shared" si="125"/>
        <v>6.4512E-2</v>
      </c>
      <c r="AB184" s="407">
        <f t="shared" si="126"/>
        <v>0</v>
      </c>
      <c r="AC184" s="407">
        <f t="shared" si="148"/>
        <v>1.1895512736066887</v>
      </c>
      <c r="AD184" s="407">
        <f t="shared" si="149"/>
        <v>13.502098378210272</v>
      </c>
      <c r="AE184" s="407">
        <f t="shared" si="150"/>
        <v>1.0938399636892109</v>
      </c>
      <c r="AF184" s="407">
        <f t="shared" si="127"/>
        <v>0.24192</v>
      </c>
      <c r="AG184" s="407">
        <f t="shared" si="151"/>
        <v>1.7098121317000394</v>
      </c>
      <c r="AH184" s="407">
        <f t="shared" si="152"/>
        <v>0</v>
      </c>
      <c r="AI184">
        <f t="shared" si="128"/>
        <v>0</v>
      </c>
      <c r="AJ184" s="408">
        <f t="shared" si="129"/>
        <v>0.20151935999999998</v>
      </c>
      <c r="AK184">
        <f t="shared" si="134"/>
        <v>2.52E-2</v>
      </c>
      <c r="AL184" s="408">
        <f t="shared" si="130"/>
        <v>4.4160000000000005E-2</v>
      </c>
      <c r="AM184" s="408">
        <f t="shared" si="135"/>
        <v>4.9347355729984298E-2</v>
      </c>
      <c r="AN184" s="408">
        <f t="shared" si="153"/>
        <v>6.9360000000000005E-2</v>
      </c>
      <c r="AO184" s="408">
        <f t="shared" si="154"/>
        <v>5.3997350914330609</v>
      </c>
      <c r="AP184">
        <f t="shared" si="131"/>
        <v>87.5</v>
      </c>
      <c r="AQ184" s="10">
        <f t="shared" si="155"/>
        <v>0.94187566750197327</v>
      </c>
      <c r="AR184" s="63">
        <f t="shared" si="156"/>
        <v>59.477563680334434</v>
      </c>
      <c r="AS184" s="63">
        <f t="shared" si="157"/>
        <v>85.49060658500197</v>
      </c>
      <c r="AT184" s="10"/>
      <c r="AU184">
        <f t="shared" si="158"/>
        <v>94.187566750197334</v>
      </c>
    </row>
    <row r="185" spans="7:47" x14ac:dyDescent="0.2">
      <c r="G185">
        <v>176</v>
      </c>
      <c r="H185">
        <f t="shared" si="120"/>
        <v>17.600000000000001</v>
      </c>
      <c r="I185" s="407">
        <f t="shared" si="136"/>
        <v>0.41219047619047622</v>
      </c>
      <c r="J185" s="408">
        <f t="shared" si="121"/>
        <v>6.7982804232804224</v>
      </c>
      <c r="K185" s="408">
        <f t="shared" si="132"/>
        <v>20.999140211640213</v>
      </c>
      <c r="L185" s="408">
        <f t="shared" si="137"/>
        <v>14.200859788359789</v>
      </c>
      <c r="M185" s="63">
        <f t="shared" si="122"/>
        <v>0</v>
      </c>
      <c r="N185" s="407">
        <f t="shared" si="138"/>
        <v>17.709076337464072</v>
      </c>
      <c r="O185" s="407">
        <f t="shared" si="139"/>
        <v>1.7929759978125304</v>
      </c>
      <c r="P185">
        <f t="shared" si="123"/>
        <v>0.2</v>
      </c>
      <c r="Q185" s="407">
        <f t="shared" si="133"/>
        <v>1.9929759978125303</v>
      </c>
      <c r="R185" s="9">
        <f t="shared" si="140"/>
        <v>1.9624945162037575</v>
      </c>
      <c r="S185" s="9">
        <f t="shared" si="141"/>
        <v>3.8513847261298201E-3</v>
      </c>
      <c r="T185" s="9">
        <f t="shared" si="142"/>
        <v>3.8513847261298201E-3</v>
      </c>
      <c r="U185" s="407">
        <f t="shared" si="143"/>
        <v>11.369592165465662</v>
      </c>
      <c r="V185" s="409">
        <f t="shared" si="144"/>
        <v>0.25853525201803634</v>
      </c>
      <c r="W185" s="407">
        <f t="shared" si="145"/>
        <v>0.25853525201803634</v>
      </c>
      <c r="X185" s="407">
        <f t="shared" si="146"/>
        <v>11.369592165465662</v>
      </c>
      <c r="Y185" s="407">
        <f t="shared" si="147"/>
        <v>0.77560575605410897</v>
      </c>
      <c r="Z185" s="407">
        <f t="shared" si="124"/>
        <v>0.17684868627450978</v>
      </c>
      <c r="AA185" s="407">
        <f t="shared" si="125"/>
        <v>6.4512E-2</v>
      </c>
      <c r="AB185" s="407">
        <f t="shared" si="126"/>
        <v>0</v>
      </c>
      <c r="AC185" s="407">
        <f t="shared" si="148"/>
        <v>1.2036831597643431</v>
      </c>
      <c r="AD185" s="407">
        <f t="shared" si="149"/>
        <v>13.577325167981792</v>
      </c>
      <c r="AE185" s="407">
        <f t="shared" si="150"/>
        <v>1.1060625523026708</v>
      </c>
      <c r="AF185" s="407">
        <f t="shared" si="127"/>
        <v>0.2433024</v>
      </c>
      <c r="AG185" s="407">
        <f t="shared" si="151"/>
        <v>1.7326484701245197</v>
      </c>
      <c r="AH185" s="407">
        <f t="shared" si="152"/>
        <v>0</v>
      </c>
      <c r="AI185">
        <f t="shared" si="128"/>
        <v>0</v>
      </c>
      <c r="AJ185" s="408">
        <f t="shared" si="129"/>
        <v>0.20150968319999998</v>
      </c>
      <c r="AK185">
        <f t="shared" si="134"/>
        <v>2.52E-2</v>
      </c>
      <c r="AL185" s="408">
        <f t="shared" si="130"/>
        <v>4.4160000000000005E-2</v>
      </c>
      <c r="AM185" s="408">
        <f t="shared" si="135"/>
        <v>4.9347355729984298E-2</v>
      </c>
      <c r="AN185" s="408">
        <f t="shared" si="153"/>
        <v>6.9360000000000005E-2</v>
      </c>
      <c r="AO185" s="408">
        <f t="shared" si="154"/>
        <v>5.4625639476455587</v>
      </c>
      <c r="AP185">
        <f t="shared" si="131"/>
        <v>88</v>
      </c>
      <c r="AQ185" s="10">
        <f t="shared" si="155"/>
        <v>0.94155345502071286</v>
      </c>
      <c r="AR185" s="63">
        <f t="shared" si="156"/>
        <v>60.184157988217159</v>
      </c>
      <c r="AS185" s="63">
        <f t="shared" si="157"/>
        <v>86.63242350622599</v>
      </c>
      <c r="AT185" s="10"/>
      <c r="AU185">
        <f t="shared" si="158"/>
        <v>94.155345502071285</v>
      </c>
    </row>
    <row r="186" spans="7:47" x14ac:dyDescent="0.2">
      <c r="G186">
        <v>177</v>
      </c>
      <c r="H186">
        <f t="shared" si="120"/>
        <v>17.7</v>
      </c>
      <c r="I186" s="407">
        <f t="shared" si="136"/>
        <v>0.4122777777777778</v>
      </c>
      <c r="J186" s="408">
        <f t="shared" si="121"/>
        <v>6.7997202932098757</v>
      </c>
      <c r="K186" s="408">
        <f t="shared" si="132"/>
        <v>21.099860146604936</v>
      </c>
      <c r="L186" s="408">
        <f t="shared" si="137"/>
        <v>14.300139853395061</v>
      </c>
      <c r="M186" s="63">
        <f t="shared" si="122"/>
        <v>0</v>
      </c>
      <c r="N186" s="407">
        <f t="shared" si="138"/>
        <v>17.808509660800485</v>
      </c>
      <c r="O186" s="407">
        <f t="shared" si="139"/>
        <v>1.8161005205142848</v>
      </c>
      <c r="P186">
        <f t="shared" si="123"/>
        <v>0.2</v>
      </c>
      <c r="Q186" s="407">
        <f t="shared" si="133"/>
        <v>2.0161005205142848</v>
      </c>
      <c r="R186" s="9">
        <f t="shared" si="140"/>
        <v>1.9629101708494414</v>
      </c>
      <c r="S186" s="9">
        <f t="shared" si="141"/>
        <v>3.853016338824183E-3</v>
      </c>
      <c r="T186" s="9">
        <f t="shared" si="142"/>
        <v>3.853016338824183E-3</v>
      </c>
      <c r="U186" s="407">
        <f t="shared" si="143"/>
        <v>11.434641140582942</v>
      </c>
      <c r="V186" s="409">
        <f t="shared" si="144"/>
        <v>0.2615020360278239</v>
      </c>
      <c r="W186" s="407">
        <f t="shared" si="145"/>
        <v>0.2615020360278239</v>
      </c>
      <c r="X186" s="407">
        <f t="shared" si="146"/>
        <v>11.434641140582942</v>
      </c>
      <c r="Y186" s="407">
        <f t="shared" si="147"/>
        <v>0.78450610808347176</v>
      </c>
      <c r="Z186" s="407">
        <f t="shared" si="124"/>
        <v>0.17783637962796903</v>
      </c>
      <c r="AA186" s="407">
        <f t="shared" si="125"/>
        <v>6.4512E-2</v>
      </c>
      <c r="AB186" s="407">
        <f t="shared" si="126"/>
        <v>0</v>
      </c>
      <c r="AC186" s="407">
        <f t="shared" si="148"/>
        <v>1.2179527643018271</v>
      </c>
      <c r="AD186" s="407">
        <f t="shared" si="149"/>
        <v>13.652545488842451</v>
      </c>
      <c r="AE186" s="407">
        <f t="shared" si="150"/>
        <v>1.118351989949474</v>
      </c>
      <c r="AF186" s="407">
        <f t="shared" si="127"/>
        <v>0.24468479999999998</v>
      </c>
      <c r="AG186" s="407">
        <f t="shared" si="151"/>
        <v>1.7557449650512384</v>
      </c>
      <c r="AH186" s="407">
        <f t="shared" si="152"/>
        <v>0</v>
      </c>
      <c r="AI186">
        <f t="shared" si="128"/>
        <v>0</v>
      </c>
      <c r="AJ186" s="408">
        <f t="shared" si="129"/>
        <v>0.20150000640000001</v>
      </c>
      <c r="AK186">
        <f t="shared" si="134"/>
        <v>2.52E-2</v>
      </c>
      <c r="AL186" s="408">
        <f t="shared" si="130"/>
        <v>4.4160000000000005E-2</v>
      </c>
      <c r="AM186" s="408">
        <f t="shared" si="135"/>
        <v>4.9347355729984298E-2</v>
      </c>
      <c r="AN186" s="408">
        <f t="shared" si="153"/>
        <v>6.9360000000000005E-2</v>
      </c>
      <c r="AO186" s="408">
        <f t="shared" si="154"/>
        <v>5.5260133086339982</v>
      </c>
      <c r="AP186">
        <f t="shared" si="131"/>
        <v>88.5</v>
      </c>
      <c r="AQ186" s="10">
        <f t="shared" si="155"/>
        <v>0.94122888853646036</v>
      </c>
      <c r="AR186" s="63">
        <f t="shared" si="156"/>
        <v>60.897638215091355</v>
      </c>
      <c r="AS186" s="63">
        <f t="shared" si="157"/>
        <v>87.787248252561923</v>
      </c>
      <c r="AT186" s="10"/>
      <c r="AU186">
        <f t="shared" si="158"/>
        <v>94.122888853646032</v>
      </c>
    </row>
    <row r="187" spans="7:47" x14ac:dyDescent="0.2">
      <c r="G187">
        <v>178</v>
      </c>
      <c r="H187">
        <f t="shared" si="120"/>
        <v>17.8</v>
      </c>
      <c r="I187" s="407">
        <f t="shared" si="136"/>
        <v>0.41236507936507938</v>
      </c>
      <c r="J187" s="408">
        <f t="shared" si="121"/>
        <v>6.801160163139329</v>
      </c>
      <c r="K187" s="408">
        <f t="shared" si="132"/>
        <v>21.200580081569665</v>
      </c>
      <c r="L187" s="408">
        <f t="shared" si="137"/>
        <v>14.399419918430336</v>
      </c>
      <c r="M187" s="63">
        <f t="shared" si="122"/>
        <v>0</v>
      </c>
      <c r="N187" s="407">
        <f t="shared" si="138"/>
        <v>17.907949304626037</v>
      </c>
      <c r="O187" s="407">
        <f t="shared" si="139"/>
        <v>1.8394315879510659</v>
      </c>
      <c r="P187">
        <f t="shared" si="123"/>
        <v>0.2</v>
      </c>
      <c r="Q187" s="407">
        <f t="shared" si="133"/>
        <v>2.039431587951066</v>
      </c>
      <c r="R187" s="9">
        <f t="shared" si="140"/>
        <v>1.9633258254951254</v>
      </c>
      <c r="S187" s="9">
        <f t="shared" si="141"/>
        <v>3.8546482970561154E-3</v>
      </c>
      <c r="T187" s="9">
        <f t="shared" si="142"/>
        <v>3.8546482970561154E-3</v>
      </c>
      <c r="U187" s="407">
        <f t="shared" si="143"/>
        <v>11.49970756571539</v>
      </c>
      <c r="V187" s="409">
        <f t="shared" si="144"/>
        <v>0.26448654819394357</v>
      </c>
      <c r="W187" s="407">
        <f t="shared" si="145"/>
        <v>0.26448654819394357</v>
      </c>
      <c r="X187" s="407">
        <f t="shared" si="146"/>
        <v>11.49970756571539</v>
      </c>
      <c r="Y187" s="407">
        <f t="shared" si="147"/>
        <v>0.79345964458183071</v>
      </c>
      <c r="Z187" s="407">
        <f t="shared" si="124"/>
        <v>0.1788240729814283</v>
      </c>
      <c r="AA187" s="407">
        <f t="shared" si="125"/>
        <v>6.4512E-2</v>
      </c>
      <c r="AB187" s="407">
        <f t="shared" si="126"/>
        <v>0</v>
      </c>
      <c r="AC187" s="407">
        <f t="shared" si="148"/>
        <v>1.232361548876894</v>
      </c>
      <c r="AD187" s="407">
        <f t="shared" si="149"/>
        <v>13.727759256342033</v>
      </c>
      <c r="AE187" s="407">
        <f t="shared" si="150"/>
        <v>1.1307082452005062</v>
      </c>
      <c r="AF187" s="407">
        <f t="shared" si="127"/>
        <v>0.24606720000000001</v>
      </c>
      <c r="AG187" s="407">
        <f t="shared" si="151"/>
        <v>1.7791052374026142</v>
      </c>
      <c r="AH187" s="407">
        <f t="shared" si="152"/>
        <v>0</v>
      </c>
      <c r="AI187">
        <f t="shared" si="128"/>
        <v>0</v>
      </c>
      <c r="AJ187" s="408">
        <f t="shared" si="129"/>
        <v>0.20149032959999999</v>
      </c>
      <c r="AK187">
        <f t="shared" si="134"/>
        <v>2.52E-2</v>
      </c>
      <c r="AL187" s="408">
        <f t="shared" si="130"/>
        <v>4.4160000000000005E-2</v>
      </c>
      <c r="AM187" s="408">
        <f t="shared" si="135"/>
        <v>4.9347355729984298E-2</v>
      </c>
      <c r="AN187" s="408">
        <f t="shared" si="153"/>
        <v>6.9360000000000005E-2</v>
      </c>
      <c r="AO187" s="408">
        <f t="shared" si="154"/>
        <v>5.5900899003215736</v>
      </c>
      <c r="AP187">
        <f t="shared" si="131"/>
        <v>89</v>
      </c>
      <c r="AQ187" s="10">
        <f t="shared" si="155"/>
        <v>0.94090194959945195</v>
      </c>
      <c r="AR187" s="63">
        <f t="shared" si="156"/>
        <v>61.618077443844697</v>
      </c>
      <c r="AS187" s="63">
        <f t="shared" si="157"/>
        <v>88.955261870130713</v>
      </c>
      <c r="AT187" s="10"/>
      <c r="AU187">
        <f t="shared" si="158"/>
        <v>94.090194959945194</v>
      </c>
    </row>
    <row r="188" spans="7:47" x14ac:dyDescent="0.2">
      <c r="G188">
        <v>179</v>
      </c>
      <c r="H188">
        <f t="shared" si="120"/>
        <v>17.899999999999999</v>
      </c>
      <c r="I188" s="407">
        <f t="shared" si="136"/>
        <v>0.41245238095238101</v>
      </c>
      <c r="J188" s="408">
        <f t="shared" si="121"/>
        <v>6.8026000330687832</v>
      </c>
      <c r="K188" s="408">
        <f t="shared" si="132"/>
        <v>21.301300016534391</v>
      </c>
      <c r="L188" s="408">
        <f t="shared" si="137"/>
        <v>14.498699983465606</v>
      </c>
      <c r="M188" s="63">
        <f t="shared" si="122"/>
        <v>0</v>
      </c>
      <c r="N188" s="407">
        <f t="shared" si="138"/>
        <v>18.007395164232545</v>
      </c>
      <c r="O188" s="407">
        <f t="shared" si="139"/>
        <v>1.8629708550132877</v>
      </c>
      <c r="P188">
        <f t="shared" si="123"/>
        <v>0.2</v>
      </c>
      <c r="Q188" s="407">
        <f t="shared" si="133"/>
        <v>2.0629708550132877</v>
      </c>
      <c r="R188" s="9">
        <f t="shared" si="140"/>
        <v>1.9637414801408097</v>
      </c>
      <c r="S188" s="9">
        <f t="shared" si="141"/>
        <v>3.8562806008256181E-3</v>
      </c>
      <c r="T188" s="9">
        <f t="shared" si="142"/>
        <v>3.8562806008256181E-3</v>
      </c>
      <c r="U188" s="407">
        <f t="shared" si="143"/>
        <v>11.564791372799746</v>
      </c>
      <c r="V188" s="409">
        <f t="shared" si="144"/>
        <v>0.2674887989927669</v>
      </c>
      <c r="W188" s="407">
        <f t="shared" si="145"/>
        <v>0.2674887989927669</v>
      </c>
      <c r="X188" s="407">
        <f t="shared" si="146"/>
        <v>11.564791372799746</v>
      </c>
      <c r="Y188" s="407">
        <f t="shared" si="147"/>
        <v>0.80246639697830069</v>
      </c>
      <c r="Z188" s="407">
        <f t="shared" si="124"/>
        <v>0.17981176633488757</v>
      </c>
      <c r="AA188" s="407">
        <f t="shared" si="125"/>
        <v>6.4512E-2</v>
      </c>
      <c r="AB188" s="407">
        <f t="shared" si="126"/>
        <v>0</v>
      </c>
      <c r="AC188" s="407">
        <f t="shared" si="148"/>
        <v>1.2469109985916851</v>
      </c>
      <c r="AD188" s="407">
        <f t="shared" si="149"/>
        <v>13.802966387861785</v>
      </c>
      <c r="AE188" s="407">
        <f t="shared" si="150"/>
        <v>1.1431312866266532</v>
      </c>
      <c r="AF188" s="407">
        <f t="shared" si="127"/>
        <v>0.24744959999999996</v>
      </c>
      <c r="AG188" s="407">
        <f t="shared" si="151"/>
        <v>1.8027329810383983</v>
      </c>
      <c r="AH188" s="407">
        <f t="shared" si="152"/>
        <v>0</v>
      </c>
      <c r="AI188">
        <f t="shared" si="128"/>
        <v>0</v>
      </c>
      <c r="AJ188" s="408">
        <f t="shared" si="129"/>
        <v>0.20148065279999999</v>
      </c>
      <c r="AK188">
        <f t="shared" si="134"/>
        <v>2.52E-2</v>
      </c>
      <c r="AL188" s="408">
        <f t="shared" si="130"/>
        <v>4.4160000000000005E-2</v>
      </c>
      <c r="AM188" s="408">
        <f t="shared" si="135"/>
        <v>4.9347355729984298E-2</v>
      </c>
      <c r="AN188" s="408">
        <f t="shared" si="153"/>
        <v>6.9360000000000005E-2</v>
      </c>
      <c r="AO188" s="408">
        <f t="shared" si="154"/>
        <v>5.654800567036963</v>
      </c>
      <c r="AP188">
        <f t="shared" si="131"/>
        <v>89.5</v>
      </c>
      <c r="AQ188" s="10">
        <f t="shared" si="155"/>
        <v>0.9405726192126993</v>
      </c>
      <c r="AR188" s="63">
        <f t="shared" si="156"/>
        <v>62.345549929584251</v>
      </c>
      <c r="AS188" s="63">
        <f t="shared" si="157"/>
        <v>90.136649051919917</v>
      </c>
      <c r="AT188" s="10"/>
      <c r="AU188">
        <f t="shared" si="158"/>
        <v>94.057261921269927</v>
      </c>
    </row>
    <row r="189" spans="7:47" x14ac:dyDescent="0.2">
      <c r="G189">
        <v>180</v>
      </c>
      <c r="H189">
        <f t="shared" si="120"/>
        <v>18</v>
      </c>
      <c r="I189" s="407">
        <f t="shared" si="136"/>
        <v>0.41253968253968254</v>
      </c>
      <c r="J189" s="408">
        <f t="shared" si="121"/>
        <v>6.8040399029982348</v>
      </c>
      <c r="K189" s="408">
        <f t="shared" si="132"/>
        <v>21.402019951499117</v>
      </c>
      <c r="L189" s="408">
        <f t="shared" si="137"/>
        <v>14.597980048500883</v>
      </c>
      <c r="M189" s="63">
        <f t="shared" si="122"/>
        <v>0</v>
      </c>
      <c r="N189" s="407">
        <f t="shared" si="138"/>
        <v>18.106847137205659</v>
      </c>
      <c r="O189" s="407">
        <f t="shared" si="139"/>
        <v>1.8867199989475598</v>
      </c>
      <c r="P189">
        <f t="shared" si="123"/>
        <v>0.2</v>
      </c>
      <c r="Q189" s="407">
        <f t="shared" si="133"/>
        <v>2.0867199989475598</v>
      </c>
      <c r="R189" s="9">
        <f t="shared" si="140"/>
        <v>1.9641571347864932</v>
      </c>
      <c r="S189" s="9">
        <f t="shared" si="141"/>
        <v>3.8579132501326864E-3</v>
      </c>
      <c r="T189" s="9">
        <f t="shared" si="142"/>
        <v>3.8579132501326864E-3</v>
      </c>
      <c r="U189" s="407">
        <f t="shared" si="143"/>
        <v>11.629892495218197</v>
      </c>
      <c r="V189" s="409">
        <f t="shared" si="144"/>
        <v>0.27050879890066504</v>
      </c>
      <c r="W189" s="407">
        <f t="shared" si="145"/>
        <v>0.27050879890066504</v>
      </c>
      <c r="X189" s="407">
        <f t="shared" si="146"/>
        <v>11.629892495218197</v>
      </c>
      <c r="Y189" s="407">
        <f t="shared" si="147"/>
        <v>0.81152639670199522</v>
      </c>
      <c r="Z189" s="407">
        <f t="shared" si="124"/>
        <v>0.18079945968834685</v>
      </c>
      <c r="AA189" s="407">
        <f t="shared" si="125"/>
        <v>6.4512E-2</v>
      </c>
      <c r="AB189" s="407">
        <f t="shared" si="126"/>
        <v>0</v>
      </c>
      <c r="AC189" s="407">
        <f t="shared" si="148"/>
        <v>1.2616026224424426</v>
      </c>
      <c r="AD189" s="407">
        <f t="shared" si="149"/>
        <v>13.878166802564385</v>
      </c>
      <c r="AE189" s="407">
        <f t="shared" si="150"/>
        <v>1.1556210827988009</v>
      </c>
      <c r="AF189" s="407">
        <f t="shared" si="127"/>
        <v>0.248832</v>
      </c>
      <c r="AG189" s="407">
        <f t="shared" si="151"/>
        <v>1.8266319645479649</v>
      </c>
      <c r="AH189" s="407">
        <f t="shared" si="152"/>
        <v>0</v>
      </c>
      <c r="AI189">
        <f t="shared" si="128"/>
        <v>0</v>
      </c>
      <c r="AJ189" s="408">
        <f t="shared" si="129"/>
        <v>0.201470976</v>
      </c>
      <c r="AK189">
        <f t="shared" si="134"/>
        <v>2.52E-2</v>
      </c>
      <c r="AL189" s="408">
        <f t="shared" si="130"/>
        <v>4.4160000000000005E-2</v>
      </c>
      <c r="AM189" s="408">
        <f t="shared" si="135"/>
        <v>4.9347355729984298E-2</v>
      </c>
      <c r="AN189" s="408">
        <f t="shared" si="153"/>
        <v>6.9360000000000005E-2</v>
      </c>
      <c r="AO189" s="408">
        <f t="shared" si="154"/>
        <v>5.7201522740887647</v>
      </c>
      <c r="AP189">
        <f t="shared" si="131"/>
        <v>90</v>
      </c>
      <c r="AQ189" s="10">
        <f t="shared" si="155"/>
        <v>0.94024087782780097</v>
      </c>
      <c r="AR189" s="63">
        <f t="shared" si="156"/>
        <v>63.080131122122133</v>
      </c>
      <c r="AS189" s="63">
        <f t="shared" si="157"/>
        <v>91.331598227398246</v>
      </c>
      <c r="AT189" s="10"/>
      <c r="AU189">
        <f t="shared" si="158"/>
        <v>94.0240877827801</v>
      </c>
    </row>
    <row r="190" spans="7:47" x14ac:dyDescent="0.2">
      <c r="G190">
        <v>181</v>
      </c>
      <c r="H190">
        <f t="shared" si="120"/>
        <v>18.100000000000001</v>
      </c>
      <c r="I190" s="407">
        <f t="shared" si="136"/>
        <v>0.41262698412698412</v>
      </c>
      <c r="J190" s="408">
        <f t="shared" si="121"/>
        <v>6.8054797729276881</v>
      </c>
      <c r="K190" s="408">
        <f t="shared" si="132"/>
        <v>21.502739886463846</v>
      </c>
      <c r="L190" s="408">
        <f t="shared" si="137"/>
        <v>14.697260113536156</v>
      </c>
      <c r="M190" s="63">
        <f t="shared" si="122"/>
        <v>0</v>
      </c>
      <c r="N190" s="407">
        <f t="shared" si="138"/>
        <v>18.206305123362547</v>
      </c>
      <c r="O190" s="407">
        <f t="shared" si="139"/>
        <v>1.9106807196954818</v>
      </c>
      <c r="P190">
        <f t="shared" si="123"/>
        <v>0.2</v>
      </c>
      <c r="Q190" s="407">
        <f t="shared" si="133"/>
        <v>2.1106807196954818</v>
      </c>
      <c r="R190" s="9">
        <f t="shared" si="140"/>
        <v>1.9645727894321772</v>
      </c>
      <c r="S190" s="9">
        <f t="shared" si="141"/>
        <v>3.8595462449773255E-3</v>
      </c>
      <c r="T190" s="9">
        <f t="shared" si="142"/>
        <v>3.8595462449773255E-3</v>
      </c>
      <c r="U190" s="407">
        <f t="shared" si="143"/>
        <v>11.69501086775916</v>
      </c>
      <c r="V190" s="409">
        <f t="shared" si="144"/>
        <v>0.27354655839400976</v>
      </c>
      <c r="W190" s="407">
        <f t="shared" si="145"/>
        <v>0.27354655839400976</v>
      </c>
      <c r="X190" s="407">
        <f t="shared" si="146"/>
        <v>11.69501086775916</v>
      </c>
      <c r="Y190" s="407">
        <f t="shared" si="147"/>
        <v>0.82063967518202929</v>
      </c>
      <c r="Z190" s="407">
        <f t="shared" si="124"/>
        <v>0.18178715304180615</v>
      </c>
      <c r="AA190" s="407">
        <f t="shared" si="125"/>
        <v>6.4512E-2</v>
      </c>
      <c r="AB190" s="407">
        <f t="shared" si="126"/>
        <v>0</v>
      </c>
      <c r="AC190" s="407">
        <f t="shared" si="148"/>
        <v>1.2764379537798112</v>
      </c>
      <c r="AD190" s="407">
        <f t="shared" si="149"/>
        <v>13.953360421345549</v>
      </c>
      <c r="AE190" s="407">
        <f t="shared" si="150"/>
        <v>1.1681776022878347</v>
      </c>
      <c r="AF190" s="407">
        <f t="shared" si="127"/>
        <v>0.2502144</v>
      </c>
      <c r="AG190" s="407">
        <f t="shared" si="151"/>
        <v>1.8508060330962917</v>
      </c>
      <c r="AH190" s="407">
        <f t="shared" si="152"/>
        <v>0</v>
      </c>
      <c r="AI190">
        <f t="shared" si="128"/>
        <v>0</v>
      </c>
      <c r="AJ190" s="408">
        <f t="shared" si="129"/>
        <v>0.2014612992</v>
      </c>
      <c r="AK190">
        <f t="shared" si="134"/>
        <v>2.52E-2</v>
      </c>
      <c r="AL190" s="408">
        <f t="shared" si="130"/>
        <v>4.4160000000000005E-2</v>
      </c>
      <c r="AM190" s="408">
        <f t="shared" si="135"/>
        <v>4.9347355729984298E-2</v>
      </c>
      <c r="AN190" s="408">
        <f t="shared" si="153"/>
        <v>6.9360000000000005E-2</v>
      </c>
      <c r="AO190" s="408">
        <f t="shared" si="154"/>
        <v>5.7861521104105718</v>
      </c>
      <c r="AP190">
        <f t="shared" si="131"/>
        <v>90.5</v>
      </c>
      <c r="AQ190" s="10">
        <f t="shared" si="155"/>
        <v>0.93990670534039378</v>
      </c>
      <c r="AR190" s="63">
        <f t="shared" si="156"/>
        <v>63.82189768899056</v>
      </c>
      <c r="AS190" s="63">
        <f t="shared" si="157"/>
        <v>92.540301654814584</v>
      </c>
      <c r="AT190" s="10"/>
      <c r="AU190">
        <f t="shared" si="158"/>
        <v>93.990670534039381</v>
      </c>
    </row>
    <row r="191" spans="7:47" x14ac:dyDescent="0.2">
      <c r="G191">
        <v>182</v>
      </c>
      <c r="H191">
        <f t="shared" si="120"/>
        <v>18.2</v>
      </c>
      <c r="I191" s="407">
        <f t="shared" si="136"/>
        <v>0.41271428571428576</v>
      </c>
      <c r="J191" s="408">
        <f t="shared" si="121"/>
        <v>6.8069196428571423</v>
      </c>
      <c r="K191" s="408">
        <f t="shared" si="132"/>
        <v>21.603459821428572</v>
      </c>
      <c r="L191" s="408">
        <f t="shared" si="137"/>
        <v>14.796540178571428</v>
      </c>
      <c r="M191" s="63">
        <f t="shared" si="122"/>
        <v>0</v>
      </c>
      <c r="N191" s="407">
        <f t="shared" si="138"/>
        <v>18.305769024691628</v>
      </c>
      <c r="O191" s="407">
        <f t="shared" si="139"/>
        <v>1.9348547402389569</v>
      </c>
      <c r="P191">
        <f t="shared" si="123"/>
        <v>0.2</v>
      </c>
      <c r="Q191" s="407">
        <f t="shared" si="133"/>
        <v>2.134854740238957</v>
      </c>
      <c r="R191" s="9">
        <f t="shared" si="140"/>
        <v>1.9649884440778613</v>
      </c>
      <c r="S191" s="9">
        <f t="shared" si="141"/>
        <v>3.8611795853595345E-3</v>
      </c>
      <c r="T191" s="9">
        <f t="shared" si="142"/>
        <v>3.8611795853595345E-3</v>
      </c>
      <c r="U191" s="407">
        <f t="shared" si="143"/>
        <v>11.760146426579315</v>
      </c>
      <c r="V191" s="409">
        <f t="shared" si="144"/>
        <v>0.27660208794917246</v>
      </c>
      <c r="W191" s="407">
        <f t="shared" si="145"/>
        <v>0.27660208794917246</v>
      </c>
      <c r="X191" s="407">
        <f t="shared" si="146"/>
        <v>11.760146426579315</v>
      </c>
      <c r="Y191" s="407">
        <f t="shared" si="147"/>
        <v>0.82980626384751743</v>
      </c>
      <c r="Z191" s="407">
        <f t="shared" si="124"/>
        <v>0.18277484639526537</v>
      </c>
      <c r="AA191" s="407">
        <f t="shared" si="125"/>
        <v>6.4512E-2</v>
      </c>
      <c r="AB191" s="407">
        <f t="shared" si="126"/>
        <v>0</v>
      </c>
      <c r="AC191" s="407">
        <f t="shared" si="148"/>
        <v>1.2914185507800098</v>
      </c>
      <c r="AD191" s="407">
        <f t="shared" si="149"/>
        <v>14.028547166787202</v>
      </c>
      <c r="AE191" s="407">
        <f t="shared" si="150"/>
        <v>1.1808008136646395</v>
      </c>
      <c r="AF191" s="407">
        <f t="shared" si="127"/>
        <v>0.25159679999999995</v>
      </c>
      <c r="AG191" s="407">
        <f t="shared" si="151"/>
        <v>1.8752591103255198</v>
      </c>
      <c r="AH191" s="407">
        <f t="shared" si="152"/>
        <v>0</v>
      </c>
      <c r="AI191">
        <f t="shared" si="128"/>
        <v>0</v>
      </c>
      <c r="AJ191" s="408">
        <f t="shared" si="129"/>
        <v>0.2014516224</v>
      </c>
      <c r="AK191">
        <f t="shared" si="134"/>
        <v>2.52E-2</v>
      </c>
      <c r="AL191" s="408">
        <f t="shared" si="130"/>
        <v>4.4160000000000005E-2</v>
      </c>
      <c r="AM191" s="408">
        <f t="shared" si="135"/>
        <v>4.9347355729984298E-2</v>
      </c>
      <c r="AN191" s="408">
        <f t="shared" si="153"/>
        <v>6.9360000000000005E-2</v>
      </c>
      <c r="AO191" s="408">
        <f t="shared" si="154"/>
        <v>5.8528072912790181</v>
      </c>
      <c r="AP191">
        <f t="shared" si="131"/>
        <v>91</v>
      </c>
      <c r="AQ191" s="10">
        <f t="shared" si="155"/>
        <v>0.93957008108523843</v>
      </c>
      <c r="AR191" s="63">
        <f t="shared" si="156"/>
        <v>64.570927539000493</v>
      </c>
      <c r="AS191" s="63">
        <f t="shared" si="157"/>
        <v>93.762955516275994</v>
      </c>
      <c r="AT191" s="10"/>
      <c r="AU191">
        <f t="shared" si="158"/>
        <v>93.957008108523837</v>
      </c>
    </row>
    <row r="192" spans="7:47" x14ac:dyDescent="0.2">
      <c r="G192">
        <v>183</v>
      </c>
      <c r="H192">
        <f t="shared" si="120"/>
        <v>18.3</v>
      </c>
      <c r="I192" s="407">
        <f t="shared" si="136"/>
        <v>0.41280158730158728</v>
      </c>
      <c r="J192" s="408">
        <f t="shared" si="121"/>
        <v>6.8083595127865948</v>
      </c>
      <c r="K192" s="408">
        <f t="shared" si="132"/>
        <v>21.704179756393298</v>
      </c>
      <c r="L192" s="408">
        <f t="shared" si="137"/>
        <v>14.895820243606703</v>
      </c>
      <c r="M192" s="63">
        <f t="shared" si="122"/>
        <v>0</v>
      </c>
      <c r="N192" s="407">
        <f t="shared" si="138"/>
        <v>18.405238745294216</v>
      </c>
      <c r="O192" s="407">
        <f t="shared" si="139"/>
        <v>1.9592438069521454</v>
      </c>
      <c r="P192">
        <f t="shared" si="123"/>
        <v>0.2</v>
      </c>
      <c r="Q192" s="407">
        <f t="shared" si="133"/>
        <v>2.1592438069521456</v>
      </c>
      <c r="R192" s="9">
        <f t="shared" si="140"/>
        <v>1.965404098723545</v>
      </c>
      <c r="S192" s="9">
        <f t="shared" si="141"/>
        <v>3.8628132712793103E-3</v>
      </c>
      <c r="T192" s="9">
        <f t="shared" si="142"/>
        <v>3.8628132712793103E-3</v>
      </c>
      <c r="U192" s="407">
        <f t="shared" si="143"/>
        <v>11.825299109166851</v>
      </c>
      <c r="V192" s="409">
        <f t="shared" si="144"/>
        <v>0.27967539804252467</v>
      </c>
      <c r="W192" s="407">
        <f t="shared" si="145"/>
        <v>0.27967539804252467</v>
      </c>
      <c r="X192" s="407">
        <f t="shared" si="146"/>
        <v>11.825299109166851</v>
      </c>
      <c r="Y192" s="407">
        <f t="shared" si="147"/>
        <v>0.83902619412757395</v>
      </c>
      <c r="Z192" s="407">
        <f t="shared" si="124"/>
        <v>0.18376253974872467</v>
      </c>
      <c r="AA192" s="407">
        <f t="shared" si="125"/>
        <v>6.4512E-2</v>
      </c>
      <c r="AB192" s="407">
        <f t="shared" si="126"/>
        <v>0</v>
      </c>
      <c r="AC192" s="407">
        <f t="shared" si="148"/>
        <v>1.3065459969271851</v>
      </c>
      <c r="AD192" s="407">
        <f t="shared" si="149"/>
        <v>14.103726963112162</v>
      </c>
      <c r="AE192" s="407">
        <f t="shared" si="150"/>
        <v>1.1934906855001022</v>
      </c>
      <c r="AF192" s="407">
        <f t="shared" si="127"/>
        <v>0.25297920000000002</v>
      </c>
      <c r="AG192" s="407">
        <f t="shared" si="151"/>
        <v>1.8999952003140448</v>
      </c>
      <c r="AH192" s="407">
        <f t="shared" si="152"/>
        <v>0</v>
      </c>
      <c r="AI192">
        <f t="shared" si="128"/>
        <v>0</v>
      </c>
      <c r="AJ192" s="408">
        <f t="shared" si="129"/>
        <v>0.20144194560000001</v>
      </c>
      <c r="AK192">
        <f t="shared" si="134"/>
        <v>2.52E-2</v>
      </c>
      <c r="AL192" s="408">
        <f t="shared" si="130"/>
        <v>4.4160000000000005E-2</v>
      </c>
      <c r="AM192" s="408">
        <f t="shared" si="135"/>
        <v>4.9347355729984298E-2</v>
      </c>
      <c r="AN192" s="408">
        <f t="shared" si="153"/>
        <v>6.9360000000000005E-2</v>
      </c>
      <c r="AO192" s="408">
        <f t="shared" si="154"/>
        <v>5.9201251611071797</v>
      </c>
      <c r="AP192">
        <f t="shared" si="131"/>
        <v>91.5</v>
      </c>
      <c r="AQ192" s="10">
        <f t="shared" si="155"/>
        <v>0.93923098383093995</v>
      </c>
      <c r="AR192" s="63">
        <f t="shared" si="156"/>
        <v>65.327299846359253</v>
      </c>
      <c r="AS192" s="63">
        <f t="shared" si="157"/>
        <v>94.999760015702236</v>
      </c>
      <c r="AT192" s="10"/>
      <c r="AU192">
        <f t="shared" si="158"/>
        <v>93.923098383094</v>
      </c>
    </row>
    <row r="193" spans="7:47" x14ac:dyDescent="0.2">
      <c r="G193">
        <v>184</v>
      </c>
      <c r="H193">
        <f t="shared" si="120"/>
        <v>18.400000000000002</v>
      </c>
      <c r="I193" s="407">
        <f t="shared" si="136"/>
        <v>0.41288888888888892</v>
      </c>
      <c r="J193" s="408">
        <f t="shared" si="121"/>
        <v>6.809799382716049</v>
      </c>
      <c r="K193" s="408">
        <f t="shared" si="132"/>
        <v>21.804899691358028</v>
      </c>
      <c r="L193" s="408">
        <f t="shared" si="137"/>
        <v>14.995100308641977</v>
      </c>
      <c r="M193" s="63">
        <f t="shared" si="122"/>
        <v>0</v>
      </c>
      <c r="N193" s="407">
        <f t="shared" si="138"/>
        <v>18.504714191328024</v>
      </c>
      <c r="O193" s="407">
        <f t="shared" si="139"/>
        <v>1.9838496899602169</v>
      </c>
      <c r="P193">
        <f t="shared" si="123"/>
        <v>0.2</v>
      </c>
      <c r="Q193" s="407">
        <f t="shared" si="133"/>
        <v>2.1838496899602169</v>
      </c>
      <c r="R193" s="9">
        <f t="shared" si="140"/>
        <v>1.9658197533692292</v>
      </c>
      <c r="S193" s="9">
        <f t="shared" si="141"/>
        <v>3.8644473027366574E-3</v>
      </c>
      <c r="T193" s="9">
        <f t="shared" si="142"/>
        <v>3.8644473027366574E-3</v>
      </c>
      <c r="U193" s="407">
        <f t="shared" si="143"/>
        <v>11.890468854305908</v>
      </c>
      <c r="V193" s="409">
        <f t="shared" si="144"/>
        <v>0.28276649915043772</v>
      </c>
      <c r="W193" s="407">
        <f t="shared" si="145"/>
        <v>0.28276649915043772</v>
      </c>
      <c r="X193" s="407">
        <f t="shared" si="146"/>
        <v>11.890468854305908</v>
      </c>
      <c r="Y193" s="407">
        <f t="shared" si="147"/>
        <v>0.84829949745131317</v>
      </c>
      <c r="Z193" s="407">
        <f t="shared" si="124"/>
        <v>0.18475023310218394</v>
      </c>
      <c r="AA193" s="407">
        <f t="shared" si="125"/>
        <v>6.4512E-2</v>
      </c>
      <c r="AB193" s="407">
        <f t="shared" si="126"/>
        <v>0</v>
      </c>
      <c r="AC193" s="407">
        <f t="shared" si="148"/>
        <v>1.3218219015072439</v>
      </c>
      <c r="AD193" s="407">
        <f t="shared" si="149"/>
        <v>14.178899736140243</v>
      </c>
      <c r="AE193" s="407">
        <f t="shared" si="150"/>
        <v>1.2062471863651072</v>
      </c>
      <c r="AF193" s="407">
        <f t="shared" si="127"/>
        <v>0.25436160000000002</v>
      </c>
      <c r="AG193" s="407">
        <f t="shared" si="151"/>
        <v>1.9250183895951565</v>
      </c>
      <c r="AH193" s="407">
        <f t="shared" si="152"/>
        <v>0</v>
      </c>
      <c r="AI193">
        <f t="shared" si="128"/>
        <v>0</v>
      </c>
      <c r="AJ193" s="408">
        <f t="shared" si="129"/>
        <v>0.20143226879999998</v>
      </c>
      <c r="AK193">
        <f t="shared" si="134"/>
        <v>2.52E-2</v>
      </c>
      <c r="AL193" s="408">
        <f t="shared" si="130"/>
        <v>4.4160000000000005E-2</v>
      </c>
      <c r="AM193" s="408">
        <f t="shared" si="135"/>
        <v>4.9347355729984298E-2</v>
      </c>
      <c r="AN193" s="408">
        <f t="shared" si="153"/>
        <v>6.9360000000000005E-2</v>
      </c>
      <c r="AO193" s="408">
        <f t="shared" si="154"/>
        <v>5.9881131963157914</v>
      </c>
      <c r="AP193">
        <f t="shared" si="131"/>
        <v>92.000000000000014</v>
      </c>
      <c r="AQ193" s="10">
        <f t="shared" si="155"/>
        <v>0.93888939177429798</v>
      </c>
      <c r="AR193" s="63">
        <f t="shared" si="156"/>
        <v>66.09109507536219</v>
      </c>
      <c r="AS193" s="63">
        <f t="shared" si="157"/>
        <v>96.250919479757826</v>
      </c>
      <c r="AT193" s="10"/>
      <c r="AU193">
        <f t="shared" si="158"/>
        <v>93.888939177429791</v>
      </c>
    </row>
    <row r="194" spans="7:47" x14ac:dyDescent="0.2">
      <c r="G194">
        <v>185</v>
      </c>
      <c r="H194">
        <f t="shared" si="120"/>
        <v>18.5</v>
      </c>
      <c r="I194" s="407">
        <f t="shared" si="136"/>
        <v>0.4129761904761905</v>
      </c>
      <c r="J194" s="408">
        <f t="shared" si="121"/>
        <v>6.8112392526455023</v>
      </c>
      <c r="K194" s="408">
        <f t="shared" si="132"/>
        <v>21.90561962632275</v>
      </c>
      <c r="L194" s="408">
        <f t="shared" si="137"/>
        <v>15.094380373677248</v>
      </c>
      <c r="M194" s="63">
        <f t="shared" si="122"/>
        <v>0</v>
      </c>
      <c r="N194" s="407">
        <f t="shared" si="138"/>
        <v>18.604195270952506</v>
      </c>
      <c r="O194" s="407">
        <f t="shared" si="139"/>
        <v>2.0086741835050601</v>
      </c>
      <c r="P194">
        <f t="shared" si="123"/>
        <v>0.2</v>
      </c>
      <c r="Q194" s="407">
        <f t="shared" si="133"/>
        <v>2.2086741835050603</v>
      </c>
      <c r="R194" s="9">
        <f t="shared" si="140"/>
        <v>1.9662354080149131</v>
      </c>
      <c r="S194" s="9">
        <f t="shared" si="141"/>
        <v>3.8660816797315718E-3</v>
      </c>
      <c r="T194" s="9">
        <f t="shared" si="142"/>
        <v>3.8660816797315718E-3</v>
      </c>
      <c r="U194" s="407">
        <f t="shared" si="143"/>
        <v>11.955655602042137</v>
      </c>
      <c r="V194" s="409">
        <f t="shared" si="144"/>
        <v>0.28587540174928305</v>
      </c>
      <c r="W194" s="407">
        <f t="shared" si="145"/>
        <v>0.28587540174928305</v>
      </c>
      <c r="X194" s="407">
        <f t="shared" si="146"/>
        <v>11.955655602042137</v>
      </c>
      <c r="Y194" s="407">
        <f t="shared" si="147"/>
        <v>0.85762620524784927</v>
      </c>
      <c r="Z194" s="407">
        <f t="shared" si="124"/>
        <v>0.18573792645564319</v>
      </c>
      <c r="AA194" s="407">
        <f t="shared" si="125"/>
        <v>6.4512E-2</v>
      </c>
      <c r="AB194" s="407">
        <f t="shared" si="126"/>
        <v>0</v>
      </c>
      <c r="AC194" s="407">
        <f t="shared" si="148"/>
        <v>1.33724790011349</v>
      </c>
      <c r="AD194" s="407">
        <f t="shared" si="149"/>
        <v>14.254065413245796</v>
      </c>
      <c r="AE194" s="407">
        <f t="shared" si="150"/>
        <v>1.2190702848305401</v>
      </c>
      <c r="AF194" s="407">
        <f t="shared" si="127"/>
        <v>0.25574399999999997</v>
      </c>
      <c r="AG194" s="407">
        <f t="shared" si="151"/>
        <v>1.9503328492373726</v>
      </c>
      <c r="AH194" s="407">
        <f t="shared" si="152"/>
        <v>0</v>
      </c>
      <c r="AI194">
        <f t="shared" si="128"/>
        <v>0</v>
      </c>
      <c r="AJ194" s="408">
        <f t="shared" si="129"/>
        <v>0.20142259199999998</v>
      </c>
      <c r="AK194">
        <f t="shared" si="134"/>
        <v>2.52E-2</v>
      </c>
      <c r="AL194" s="408">
        <f t="shared" si="130"/>
        <v>4.4160000000000005E-2</v>
      </c>
      <c r="AM194" s="408">
        <f t="shared" si="135"/>
        <v>4.9347355729984298E-2</v>
      </c>
      <c r="AN194" s="408">
        <f t="shared" si="153"/>
        <v>6.9360000000000005E-2</v>
      </c>
      <c r="AO194" s="408">
        <f t="shared" si="154"/>
        <v>6.0567790082849369</v>
      </c>
      <c r="AP194">
        <f t="shared" si="131"/>
        <v>92.5</v>
      </c>
      <c r="AQ194" s="10">
        <f t="shared" si="155"/>
        <v>0.93854528253428626</v>
      </c>
      <c r="AR194" s="63">
        <f t="shared" si="156"/>
        <v>66.8623950056745</v>
      </c>
      <c r="AS194" s="63">
        <f t="shared" si="157"/>
        <v>97.516642461868628</v>
      </c>
      <c r="AT194" s="10"/>
      <c r="AU194">
        <f t="shared" si="158"/>
        <v>93.854528253428626</v>
      </c>
    </row>
    <row r="195" spans="7:47" x14ac:dyDescent="0.2">
      <c r="G195">
        <v>186</v>
      </c>
      <c r="H195">
        <f t="shared" si="120"/>
        <v>18.600000000000001</v>
      </c>
      <c r="I195" s="407">
        <f t="shared" si="136"/>
        <v>0.41306349206349208</v>
      </c>
      <c r="J195" s="408">
        <f t="shared" si="121"/>
        <v>6.8126791225749557</v>
      </c>
      <c r="K195" s="408">
        <f t="shared" si="132"/>
        <v>22.006339561287479</v>
      </c>
      <c r="L195" s="408">
        <f t="shared" si="137"/>
        <v>15.193660438712524</v>
      </c>
      <c r="M195" s="63">
        <f t="shared" si="122"/>
        <v>0</v>
      </c>
      <c r="N195" s="407">
        <f t="shared" si="138"/>
        <v>18.703681894275899</v>
      </c>
      <c r="O195" s="407">
        <f t="shared" si="139"/>
        <v>2.0337191063180837</v>
      </c>
      <c r="P195">
        <f t="shared" si="123"/>
        <v>0.2</v>
      </c>
      <c r="Q195" s="407">
        <f t="shared" si="133"/>
        <v>2.2337191063180839</v>
      </c>
      <c r="R195" s="9">
        <f t="shared" si="140"/>
        <v>1.9666510626605971</v>
      </c>
      <c r="S195" s="9">
        <f t="shared" si="141"/>
        <v>3.8677164022640556E-3</v>
      </c>
      <c r="T195" s="9">
        <f t="shared" si="142"/>
        <v>3.8677164022640556E-3</v>
      </c>
      <c r="U195" s="407">
        <f t="shared" si="143"/>
        <v>12.020859293649361</v>
      </c>
      <c r="V195" s="409">
        <f t="shared" si="144"/>
        <v>0.28900211631543243</v>
      </c>
      <c r="W195" s="407">
        <f t="shared" si="145"/>
        <v>0.28900211631543243</v>
      </c>
      <c r="X195" s="407">
        <f t="shared" si="146"/>
        <v>12.020859293649361</v>
      </c>
      <c r="Y195" s="407">
        <f t="shared" si="147"/>
        <v>0.86700634894629736</v>
      </c>
      <c r="Z195" s="407">
        <f t="shared" si="124"/>
        <v>0.18672561980910249</v>
      </c>
      <c r="AA195" s="407">
        <f t="shared" si="125"/>
        <v>6.4512E-2</v>
      </c>
      <c r="AB195" s="407">
        <f t="shared" si="126"/>
        <v>0</v>
      </c>
      <c r="AC195" s="407">
        <f t="shared" si="148"/>
        <v>1.3528256551643922</v>
      </c>
      <c r="AD195" s="407">
        <f t="shared" si="149"/>
        <v>14.329223923316571</v>
      </c>
      <c r="AE195" s="407">
        <f t="shared" si="150"/>
        <v>1.2319599494672877</v>
      </c>
      <c r="AF195" s="407">
        <f t="shared" si="127"/>
        <v>0.25712640000000003</v>
      </c>
      <c r="AG195" s="407">
        <f t="shared" si="151"/>
        <v>1.9759428369886434</v>
      </c>
      <c r="AH195" s="407">
        <f t="shared" si="152"/>
        <v>0</v>
      </c>
      <c r="AI195">
        <f t="shared" si="128"/>
        <v>0</v>
      </c>
      <c r="AJ195" s="408">
        <f t="shared" si="129"/>
        <v>0.20141291520000001</v>
      </c>
      <c r="AK195">
        <f t="shared" si="134"/>
        <v>2.52E-2</v>
      </c>
      <c r="AL195" s="408">
        <f t="shared" si="130"/>
        <v>4.4160000000000005E-2</v>
      </c>
      <c r="AM195" s="408">
        <f t="shared" si="135"/>
        <v>4.9347355729984298E-2</v>
      </c>
      <c r="AN195" s="408">
        <f t="shared" si="153"/>
        <v>6.9360000000000005E-2</v>
      </c>
      <c r="AO195" s="408">
        <f t="shared" si="154"/>
        <v>6.1261303463888162</v>
      </c>
      <c r="AP195">
        <f t="shared" si="131"/>
        <v>93</v>
      </c>
      <c r="AQ195" s="10">
        <f t="shared" si="155"/>
        <v>0.93819863314565477</v>
      </c>
      <c r="AR195" s="63">
        <f t="shared" si="156"/>
        <v>67.641282758219617</v>
      </c>
      <c r="AS195" s="63">
        <f t="shared" si="157"/>
        <v>98.797141849432165</v>
      </c>
      <c r="AT195" s="10"/>
      <c r="AU195">
        <f t="shared" si="158"/>
        <v>93.819863314565481</v>
      </c>
    </row>
    <row r="196" spans="7:47" x14ac:dyDescent="0.2">
      <c r="G196">
        <v>187</v>
      </c>
      <c r="H196">
        <f t="shared" si="120"/>
        <v>18.700000000000003</v>
      </c>
      <c r="I196" s="407">
        <f t="shared" si="136"/>
        <v>0.4131507936507936</v>
      </c>
      <c r="J196" s="408">
        <f t="shared" si="121"/>
        <v>6.8141189925044072</v>
      </c>
      <c r="K196" s="408">
        <f t="shared" si="132"/>
        <v>22.107059496252205</v>
      </c>
      <c r="L196" s="408">
        <f t="shared" si="137"/>
        <v>15.292940503747799</v>
      </c>
      <c r="M196" s="63">
        <f t="shared" si="122"/>
        <v>0</v>
      </c>
      <c r="N196" s="407">
        <f t="shared" si="138"/>
        <v>18.803173973303927</v>
      </c>
      <c r="O196" s="407">
        <f t="shared" si="139"/>
        <v>2.0589863020002794</v>
      </c>
      <c r="P196">
        <f t="shared" si="123"/>
        <v>0.2</v>
      </c>
      <c r="Q196" s="407">
        <f t="shared" si="133"/>
        <v>2.2589863020002796</v>
      </c>
      <c r="R196" s="9">
        <f t="shared" si="140"/>
        <v>1.9670667173062806</v>
      </c>
      <c r="S196" s="9">
        <f t="shared" si="141"/>
        <v>3.8693514703341068E-3</v>
      </c>
      <c r="T196" s="9">
        <f t="shared" si="142"/>
        <v>3.8693514703341068E-3</v>
      </c>
      <c r="U196" s="407">
        <f t="shared" si="143"/>
        <v>12.08607987159726</v>
      </c>
      <c r="V196" s="409">
        <f t="shared" si="144"/>
        <v>0.29214665332525686</v>
      </c>
      <c r="W196" s="407">
        <f t="shared" si="145"/>
        <v>0.29214665332525686</v>
      </c>
      <c r="X196" s="407">
        <f t="shared" si="146"/>
        <v>12.08607987159726</v>
      </c>
      <c r="Y196" s="407">
        <f t="shared" si="147"/>
        <v>0.87643995997577062</v>
      </c>
      <c r="Z196" s="407">
        <f t="shared" si="124"/>
        <v>0.18771331316256173</v>
      </c>
      <c r="AA196" s="407">
        <f t="shared" si="125"/>
        <v>6.4512E-2</v>
      </c>
      <c r="AB196" s="407">
        <f t="shared" si="126"/>
        <v>0</v>
      </c>
      <c r="AC196" s="407">
        <f t="shared" si="148"/>
        <v>1.3685568564338164</v>
      </c>
      <c r="AD196" s="407">
        <f t="shared" si="149"/>
        <v>14.40437519671387</v>
      </c>
      <c r="AE196" s="407">
        <f t="shared" si="150"/>
        <v>1.2449161488462346</v>
      </c>
      <c r="AF196" s="407">
        <f t="shared" si="127"/>
        <v>0.25850880000000004</v>
      </c>
      <c r="AG196" s="407">
        <f t="shared" si="151"/>
        <v>2.001852699486725</v>
      </c>
      <c r="AH196" s="407">
        <f t="shared" si="152"/>
        <v>0</v>
      </c>
      <c r="AI196">
        <f t="shared" si="128"/>
        <v>0</v>
      </c>
      <c r="AJ196" s="408">
        <f t="shared" si="129"/>
        <v>0.20140323839999999</v>
      </c>
      <c r="AK196">
        <f t="shared" si="134"/>
        <v>2.52E-2</v>
      </c>
      <c r="AL196" s="408">
        <f t="shared" si="130"/>
        <v>4.4160000000000005E-2</v>
      </c>
      <c r="AM196" s="408">
        <f t="shared" si="135"/>
        <v>4.9347355729984298E-2</v>
      </c>
      <c r="AN196" s="408">
        <f t="shared" si="153"/>
        <v>6.9360000000000005E-2</v>
      </c>
      <c r="AO196" s="408">
        <f t="shared" si="154"/>
        <v>6.1961751011164115</v>
      </c>
      <c r="AP196">
        <f t="shared" si="131"/>
        <v>93.500000000000014</v>
      </c>
      <c r="AQ196" s="10">
        <f t="shared" si="155"/>
        <v>0.93784942005215377</v>
      </c>
      <c r="AR196" s="63">
        <f t="shared" si="156"/>
        <v>68.427842821690817</v>
      </c>
      <c r="AS196" s="63">
        <f t="shared" si="157"/>
        <v>100.09263497433625</v>
      </c>
      <c r="AT196" s="10"/>
      <c r="AU196">
        <f t="shared" si="158"/>
        <v>93.78494200521537</v>
      </c>
    </row>
    <row r="197" spans="7:47" x14ac:dyDescent="0.2">
      <c r="G197">
        <v>188</v>
      </c>
      <c r="H197">
        <f t="shared" si="120"/>
        <v>18.799999999999997</v>
      </c>
      <c r="I197" s="407">
        <f t="shared" si="136"/>
        <v>0.41323809523809529</v>
      </c>
      <c r="J197" s="408">
        <f t="shared" si="121"/>
        <v>6.8155588624338623</v>
      </c>
      <c r="K197" s="408">
        <f t="shared" si="132"/>
        <v>22.207779431216927</v>
      </c>
      <c r="L197" s="408">
        <f t="shared" si="137"/>
        <v>15.392220568783067</v>
      </c>
      <c r="M197" s="63">
        <f t="shared" si="122"/>
        <v>0</v>
      </c>
      <c r="N197" s="407">
        <f t="shared" si="138"/>
        <v>18.902671421890123</v>
      </c>
      <c r="O197" s="407">
        <f t="shared" si="139"/>
        <v>2.084477639409704</v>
      </c>
      <c r="P197">
        <f t="shared" si="123"/>
        <v>0.2</v>
      </c>
      <c r="Q197" s="407">
        <f t="shared" si="133"/>
        <v>2.2844776394097042</v>
      </c>
      <c r="R197" s="9">
        <f t="shared" si="140"/>
        <v>1.9674823719519652</v>
      </c>
      <c r="S197" s="9">
        <f t="shared" si="141"/>
        <v>3.8709868839417313E-3</v>
      </c>
      <c r="T197" s="9">
        <f t="shared" si="142"/>
        <v>3.8709868839417313E-3</v>
      </c>
      <c r="U197" s="407">
        <f t="shared" si="143"/>
        <v>12.151317279520113</v>
      </c>
      <c r="V197" s="409">
        <f t="shared" si="144"/>
        <v>0.29530902325512814</v>
      </c>
      <c r="W197" s="407">
        <f t="shared" si="145"/>
        <v>0.29530902325512814</v>
      </c>
      <c r="X197" s="407">
        <f t="shared" si="146"/>
        <v>12.151317279520113</v>
      </c>
      <c r="Y197" s="407">
        <f t="shared" si="147"/>
        <v>0.88592706976538438</v>
      </c>
      <c r="Z197" s="407">
        <f t="shared" si="124"/>
        <v>0.18870100651602095</v>
      </c>
      <c r="AA197" s="407">
        <f t="shared" si="125"/>
        <v>6.4512E-2</v>
      </c>
      <c r="AB197" s="407">
        <f t="shared" si="126"/>
        <v>0</v>
      </c>
      <c r="AC197" s="407">
        <f t="shared" si="148"/>
        <v>1.3844432215940847</v>
      </c>
      <c r="AD197" s="407">
        <f t="shared" si="149"/>
        <v>14.479519165233958</v>
      </c>
      <c r="AE197" s="407">
        <f t="shared" si="150"/>
        <v>1.257938851538265</v>
      </c>
      <c r="AF197" s="407">
        <f t="shared" si="127"/>
        <v>0.25989119999999993</v>
      </c>
      <c r="AG197" s="407">
        <f t="shared" si="151"/>
        <v>2.0280668745381218</v>
      </c>
      <c r="AH197" s="407">
        <f t="shared" si="152"/>
        <v>0</v>
      </c>
      <c r="AI197">
        <f t="shared" si="128"/>
        <v>0</v>
      </c>
      <c r="AJ197" s="408">
        <f t="shared" si="129"/>
        <v>0.20139356159999999</v>
      </c>
      <c r="AK197">
        <f t="shared" si="134"/>
        <v>2.52E-2</v>
      </c>
      <c r="AL197" s="408">
        <f t="shared" si="130"/>
        <v>4.4160000000000005E-2</v>
      </c>
      <c r="AM197" s="408">
        <f t="shared" si="135"/>
        <v>4.9347355729984298E-2</v>
      </c>
      <c r="AN197" s="408">
        <f t="shared" si="153"/>
        <v>6.9360000000000005E-2</v>
      </c>
      <c r="AO197" s="408">
        <f t="shared" si="154"/>
        <v>6.2669213072809802</v>
      </c>
      <c r="AP197">
        <f t="shared" si="131"/>
        <v>93.999999999999986</v>
      </c>
      <c r="AQ197" s="10">
        <f t="shared" si="155"/>
        <v>0.9374976190993719</v>
      </c>
      <c r="AR197" s="63">
        <f t="shared" si="156"/>
        <v>69.222161079704236</v>
      </c>
      <c r="AS197" s="63">
        <f t="shared" si="157"/>
        <v>101.40334372690609</v>
      </c>
      <c r="AT197" s="10"/>
      <c r="AU197">
        <f t="shared" si="158"/>
        <v>93.749761909937192</v>
      </c>
    </row>
    <row r="198" spans="7:47" x14ac:dyDescent="0.2">
      <c r="G198">
        <v>189</v>
      </c>
      <c r="H198">
        <f t="shared" si="120"/>
        <v>18.899999999999999</v>
      </c>
      <c r="I198" s="407">
        <f t="shared" si="136"/>
        <v>0.41332539682539687</v>
      </c>
      <c r="J198" s="408">
        <f t="shared" si="121"/>
        <v>6.8169987323633157</v>
      </c>
      <c r="K198" s="408">
        <f t="shared" si="132"/>
        <v>22.308499366181657</v>
      </c>
      <c r="L198" s="408">
        <f t="shared" si="137"/>
        <v>15.49150063381834</v>
      </c>
      <c r="M198" s="63">
        <f t="shared" si="122"/>
        <v>0</v>
      </c>
      <c r="N198" s="407">
        <f t="shared" si="138"/>
        <v>19.002174155687733</v>
      </c>
      <c r="O198" s="407">
        <f t="shared" si="139"/>
        <v>2.1101950130565652</v>
      </c>
      <c r="P198">
        <f t="shared" si="123"/>
        <v>0.2</v>
      </c>
      <c r="Q198" s="407">
        <f t="shared" si="133"/>
        <v>2.3101950130565654</v>
      </c>
      <c r="R198" s="9">
        <f t="shared" si="140"/>
        <v>1.9678980265976491</v>
      </c>
      <c r="S198" s="9">
        <f t="shared" si="141"/>
        <v>3.8726226430869219E-3</v>
      </c>
      <c r="T198" s="9">
        <f t="shared" si="142"/>
        <v>3.8726226430869219E-3</v>
      </c>
      <c r="U198" s="407">
        <f t="shared" si="143"/>
        <v>12.21657146218647</v>
      </c>
      <c r="V198" s="409">
        <f t="shared" si="144"/>
        <v>0.29848923658141774</v>
      </c>
      <c r="W198" s="407">
        <f t="shared" si="145"/>
        <v>0.29848923658141774</v>
      </c>
      <c r="X198" s="407">
        <f t="shared" si="146"/>
        <v>12.21657146218647</v>
      </c>
      <c r="Y198" s="407">
        <f t="shared" si="147"/>
        <v>0.89546770974425327</v>
      </c>
      <c r="Z198" s="407">
        <f t="shared" si="124"/>
        <v>0.18968869986948028</v>
      </c>
      <c r="AA198" s="407">
        <f t="shared" si="125"/>
        <v>6.4512E-2</v>
      </c>
      <c r="AB198" s="407">
        <f t="shared" si="126"/>
        <v>0</v>
      </c>
      <c r="AC198" s="407">
        <f t="shared" si="148"/>
        <v>1.4004864967722053</v>
      </c>
      <c r="AD198" s="407">
        <f t="shared" si="149"/>
        <v>14.554655762070702</v>
      </c>
      <c r="AE198" s="407">
        <f t="shared" si="150"/>
        <v>1.2710280261142672</v>
      </c>
      <c r="AF198" s="407">
        <f t="shared" si="127"/>
        <v>0.26127359999999999</v>
      </c>
      <c r="AG198" s="407">
        <f t="shared" si="151"/>
        <v>2.0545898934680777</v>
      </c>
      <c r="AH198" s="407">
        <f t="shared" si="152"/>
        <v>0</v>
      </c>
      <c r="AI198">
        <f t="shared" si="128"/>
        <v>0</v>
      </c>
      <c r="AJ198" s="408">
        <f t="shared" si="129"/>
        <v>0.2013838848</v>
      </c>
      <c r="AK198">
        <f t="shared" si="134"/>
        <v>2.52E-2</v>
      </c>
      <c r="AL198" s="408">
        <f t="shared" si="130"/>
        <v>4.4160000000000005E-2</v>
      </c>
      <c r="AM198" s="408">
        <f t="shared" si="135"/>
        <v>4.9347355729984298E-2</v>
      </c>
      <c r="AN198" s="408">
        <f t="shared" si="153"/>
        <v>6.9360000000000005E-2</v>
      </c>
      <c r="AO198" s="408">
        <f t="shared" si="154"/>
        <v>6.3383771473213528</v>
      </c>
      <c r="AP198">
        <f t="shared" si="131"/>
        <v>94.5</v>
      </c>
      <c r="AQ198" s="10">
        <f t="shared" si="155"/>
        <v>0.93714320552718533</v>
      </c>
      <c r="AR198" s="63">
        <f t="shared" si="156"/>
        <v>70.024324838610269</v>
      </c>
      <c r="AS198" s="63">
        <f t="shared" si="157"/>
        <v>102.72949467340389</v>
      </c>
      <c r="AT198" s="10"/>
      <c r="AU198">
        <f t="shared" si="158"/>
        <v>93.714320552718533</v>
      </c>
    </row>
    <row r="199" spans="7:47" x14ac:dyDescent="0.2">
      <c r="G199">
        <v>190</v>
      </c>
      <c r="H199">
        <f t="shared" si="120"/>
        <v>19</v>
      </c>
      <c r="I199" s="407">
        <f t="shared" si="136"/>
        <v>0.4134126984126984</v>
      </c>
      <c r="J199" s="408">
        <f t="shared" si="121"/>
        <v>6.8184386022927681</v>
      </c>
      <c r="K199" s="408">
        <f t="shared" si="132"/>
        <v>22.409219301146383</v>
      </c>
      <c r="L199" s="408">
        <f t="shared" si="137"/>
        <v>15.590780698853616</v>
      </c>
      <c r="M199" s="63">
        <f t="shared" si="122"/>
        <v>0</v>
      </c>
      <c r="N199" s="407">
        <f t="shared" si="138"/>
        <v>19.101682092103033</v>
      </c>
      <c r="O199" s="407">
        <f t="shared" si="139"/>
        <v>2.1361403435060371</v>
      </c>
      <c r="P199">
        <f t="shared" si="123"/>
        <v>0.2</v>
      </c>
      <c r="Q199" s="407">
        <f t="shared" si="133"/>
        <v>2.3361403435060373</v>
      </c>
      <c r="R199" s="9">
        <f t="shared" si="140"/>
        <v>1.9683136812433328</v>
      </c>
      <c r="S199" s="9">
        <f t="shared" si="141"/>
        <v>3.8742587477696806E-3</v>
      </c>
      <c r="T199" s="9">
        <f t="shared" si="142"/>
        <v>3.8742587477696806E-3</v>
      </c>
      <c r="U199" s="407">
        <f t="shared" si="143"/>
        <v>12.281842365469791</v>
      </c>
      <c r="V199" s="409">
        <f t="shared" si="144"/>
        <v>0.30168730378049718</v>
      </c>
      <c r="W199" s="407">
        <f t="shared" si="145"/>
        <v>0.30168730378049718</v>
      </c>
      <c r="X199" s="407">
        <f t="shared" si="146"/>
        <v>12.281842365469791</v>
      </c>
      <c r="Y199" s="407">
        <f t="shared" si="147"/>
        <v>0.90506191134149161</v>
      </c>
      <c r="Z199" s="407">
        <f t="shared" si="124"/>
        <v>0.19067639322293953</v>
      </c>
      <c r="AA199" s="407">
        <f t="shared" si="125"/>
        <v>6.4512E-2</v>
      </c>
      <c r="AB199" s="407">
        <f t="shared" si="126"/>
        <v>0</v>
      </c>
      <c r="AC199" s="407">
        <f t="shared" si="148"/>
        <v>1.4166884571196607</v>
      </c>
      <c r="AD199" s="407">
        <f t="shared" si="149"/>
        <v>14.629784921779304</v>
      </c>
      <c r="AE199" s="407">
        <f t="shared" si="150"/>
        <v>1.2841836411451266</v>
      </c>
      <c r="AF199" s="407">
        <f t="shared" si="127"/>
        <v>0.262656</v>
      </c>
      <c r="AG199" s="407">
        <f t="shared" si="151"/>
        <v>2.0814263835441884</v>
      </c>
      <c r="AH199" s="407">
        <f t="shared" si="152"/>
        <v>0</v>
      </c>
      <c r="AI199">
        <f t="shared" si="128"/>
        <v>0</v>
      </c>
      <c r="AJ199" s="408">
        <f t="shared" si="129"/>
        <v>0.20137420799999997</v>
      </c>
      <c r="AK199">
        <f t="shared" si="134"/>
        <v>2.52E-2</v>
      </c>
      <c r="AL199" s="408">
        <f t="shared" si="130"/>
        <v>4.4160000000000005E-2</v>
      </c>
      <c r="AM199" s="408">
        <f t="shared" si="135"/>
        <v>4.9347355729984298E-2</v>
      </c>
      <c r="AN199" s="408">
        <f t="shared" si="153"/>
        <v>6.9360000000000005E-2</v>
      </c>
      <c r="AO199" s="408">
        <f t="shared" si="154"/>
        <v>6.4105509546981523</v>
      </c>
      <c r="AP199">
        <f t="shared" si="131"/>
        <v>95</v>
      </c>
      <c r="AQ199" s="10">
        <f t="shared" si="155"/>
        <v>0.93678615396181153</v>
      </c>
      <c r="AR199" s="63">
        <f t="shared" si="156"/>
        <v>70.834422855983036</v>
      </c>
      <c r="AS199" s="63">
        <f t="shared" si="157"/>
        <v>104.07131917720942</v>
      </c>
      <c r="AT199" s="10"/>
      <c r="AU199">
        <f t="shared" si="158"/>
        <v>93.678615396181158</v>
      </c>
    </row>
    <row r="200" spans="7:47" x14ac:dyDescent="0.2">
      <c r="G200">
        <v>191</v>
      </c>
      <c r="H200">
        <f t="shared" si="120"/>
        <v>19.099999999999998</v>
      </c>
      <c r="I200" s="407">
        <f t="shared" si="136"/>
        <v>0.41350000000000003</v>
      </c>
      <c r="J200" s="408">
        <f t="shared" si="121"/>
        <v>6.8198784722222223</v>
      </c>
      <c r="K200" s="408">
        <f t="shared" si="132"/>
        <v>22.509939236111109</v>
      </c>
      <c r="L200" s="408">
        <f t="shared" si="137"/>
        <v>15.690060763888887</v>
      </c>
      <c r="M200" s="63">
        <f t="shared" si="122"/>
        <v>0</v>
      </c>
      <c r="N200" s="407">
        <f t="shared" si="138"/>
        <v>19.201195150250154</v>
      </c>
      <c r="O200" s="407">
        <f t="shared" si="139"/>
        <v>2.1623155777890335</v>
      </c>
      <c r="P200">
        <f t="shared" si="123"/>
        <v>0.2</v>
      </c>
      <c r="Q200" s="407">
        <f t="shared" si="133"/>
        <v>2.3623155777890337</v>
      </c>
      <c r="R200" s="9">
        <f t="shared" si="140"/>
        <v>1.968729335889017</v>
      </c>
      <c r="S200" s="9">
        <f t="shared" si="141"/>
        <v>3.8758951979900101E-3</v>
      </c>
      <c r="T200" s="9">
        <f t="shared" si="142"/>
        <v>3.8758951979900101E-3</v>
      </c>
      <c r="U200" s="407">
        <f t="shared" si="143"/>
        <v>12.347129936319975</v>
      </c>
      <c r="V200" s="409">
        <f t="shared" si="144"/>
        <v>0.30490323532873781</v>
      </c>
      <c r="W200" s="407">
        <f t="shared" si="145"/>
        <v>0.30490323532873781</v>
      </c>
      <c r="X200" s="407">
        <f t="shared" si="146"/>
        <v>12.347129936319975</v>
      </c>
      <c r="Y200" s="407">
        <f t="shared" si="147"/>
        <v>0.91470970598621348</v>
      </c>
      <c r="Z200" s="407">
        <f t="shared" si="124"/>
        <v>0.19166408657639877</v>
      </c>
      <c r="AA200" s="407">
        <f t="shared" si="125"/>
        <v>6.4512E-2</v>
      </c>
      <c r="AB200" s="407">
        <f t="shared" si="126"/>
        <v>0</v>
      </c>
      <c r="AC200" s="407">
        <f t="shared" si="148"/>
        <v>1.4330509073961304</v>
      </c>
      <c r="AD200" s="407">
        <f t="shared" si="149"/>
        <v>14.704906580241207</v>
      </c>
      <c r="AE200" s="407">
        <f t="shared" si="150"/>
        <v>1.297405665201727</v>
      </c>
      <c r="AF200" s="407">
        <f t="shared" si="127"/>
        <v>0.26403839999999995</v>
      </c>
      <c r="AG200" s="407">
        <f t="shared" si="151"/>
        <v>2.1085810704763563</v>
      </c>
      <c r="AH200" s="407">
        <f t="shared" si="152"/>
        <v>0</v>
      </c>
      <c r="AI200">
        <f t="shared" si="128"/>
        <v>0</v>
      </c>
      <c r="AJ200" s="408">
        <f t="shared" si="129"/>
        <v>0.2013645312</v>
      </c>
      <c r="AK200">
        <f t="shared" si="134"/>
        <v>2.52E-2</v>
      </c>
      <c r="AL200" s="408">
        <f t="shared" si="130"/>
        <v>4.4160000000000005E-2</v>
      </c>
      <c r="AM200" s="408">
        <f t="shared" si="135"/>
        <v>4.9347355729984298E-2</v>
      </c>
      <c r="AN200" s="408">
        <f t="shared" si="153"/>
        <v>6.9360000000000005E-2</v>
      </c>
      <c r="AO200" s="408">
        <f t="shared" si="154"/>
        <v>6.4834512173882475</v>
      </c>
      <c r="AP200">
        <f t="shared" si="131"/>
        <v>95.499999999999986</v>
      </c>
      <c r="AQ200" s="10">
        <f t="shared" si="155"/>
        <v>0.93642643840746176</v>
      </c>
      <c r="AR200" s="63">
        <f t="shared" si="156"/>
        <v>71.652545369806518</v>
      </c>
      <c r="AS200" s="63">
        <f t="shared" si="157"/>
        <v>105.42905352381781</v>
      </c>
      <c r="AT200" s="10"/>
      <c r="AU200">
        <f t="shared" si="158"/>
        <v>93.642643840746175</v>
      </c>
    </row>
    <row r="201" spans="7:47" x14ac:dyDescent="0.2">
      <c r="G201">
        <v>192</v>
      </c>
      <c r="H201">
        <f t="shared" ref="H201:H209" si="159">Iout*(G201/200)</f>
        <v>19.2</v>
      </c>
      <c r="I201" s="407">
        <f t="shared" si="136"/>
        <v>0.41358730158730156</v>
      </c>
      <c r="J201" s="408">
        <f t="shared" ref="J201:J209" si="160">(Vin-Vout)*I201/(Fsw*Lout2)</f>
        <v>6.8213183421516748</v>
      </c>
      <c r="K201" s="408">
        <f t="shared" si="132"/>
        <v>22.610659171075838</v>
      </c>
      <c r="L201" s="408">
        <f t="shared" si="137"/>
        <v>15.789340828924162</v>
      </c>
      <c r="M201" s="63">
        <f t="shared" ref="M201:M209" si="161">IF(MIN(Vin, -L201/(CossTop+CossBot)*0.00000002)&lt;0, 0, MIN(Vin, -L201/(CossTop+CossBot)*0.00000002))</f>
        <v>0</v>
      </c>
      <c r="N201" s="407">
        <f t="shared" si="138"/>
        <v>19.300713250907279</v>
      </c>
      <c r="O201" s="407">
        <f t="shared" si="139"/>
        <v>2.1887226898210863</v>
      </c>
      <c r="P201">
        <f t="shared" ref="P201:P209" si="162">Core_Loss</f>
        <v>0.2</v>
      </c>
      <c r="Q201" s="407">
        <f t="shared" si="133"/>
        <v>2.3887226898210865</v>
      </c>
      <c r="R201" s="9">
        <f t="shared" si="140"/>
        <v>1.9691449905347007</v>
      </c>
      <c r="S201" s="9">
        <f t="shared" si="141"/>
        <v>3.8775319937479065E-3</v>
      </c>
      <c r="T201" s="9">
        <f t="shared" si="142"/>
        <v>3.8775319937479065E-3</v>
      </c>
      <c r="U201" s="407">
        <f t="shared" si="143"/>
        <v>12.412434122735776</v>
      </c>
      <c r="V201" s="409">
        <f t="shared" si="144"/>
        <v>0.30813704170251094</v>
      </c>
      <c r="W201" s="407">
        <f t="shared" si="145"/>
        <v>0.30813704170251094</v>
      </c>
      <c r="X201" s="407">
        <f t="shared" si="146"/>
        <v>12.412434122735776</v>
      </c>
      <c r="Y201" s="407">
        <f t="shared" si="147"/>
        <v>0.92441112510753287</v>
      </c>
      <c r="Z201" s="407">
        <f t="shared" ref="Z201:Z209" si="163">IF(L201&lt;0, (Vin*K201*Tf/2)*Fsw, (Vin*L201*Tr/2+Vin*K201*Tf/2)*Fsw)</f>
        <v>0.19265177992985807</v>
      </c>
      <c r="AA201" s="407">
        <f t="shared" ref="AA201:AA209" si="164">(0.5*CossTop*(Vin-M201)^2-0.5*CossBot*(Vin-M201)^2+(QossBot*(Vin-M201)/Vin)*Vin)*Fsw</f>
        <v>6.4512E-2</v>
      </c>
      <c r="AB201" s="407">
        <f t="shared" ref="AB201:AB209" si="165">IF(L201&gt;0,0,-L201*VsdTop*Deadtime*Fsw)</f>
        <v>0</v>
      </c>
      <c r="AC201" s="407">
        <f t="shared" si="148"/>
        <v>1.4495756825675483</v>
      </c>
      <c r="AD201" s="407">
        <f t="shared" si="149"/>
        <v>14.780020674630073</v>
      </c>
      <c r="AE201" s="407">
        <f t="shared" si="150"/>
        <v>1.3106940668549545</v>
      </c>
      <c r="AF201" s="407">
        <f t="shared" ref="AF201:AF209" si="166">IF(L201&lt;0, Deadtime*Fsw*IF(VfdSky&gt;0,0,VsdBot)*K201, Deadtime*Fsw*IF(VfdSky&gt;0,0,VsdBot)*(K201+L201))</f>
        <v>0.26542079999999996</v>
      </c>
      <c r="AG201" s="407">
        <f t="shared" si="151"/>
        <v>2.1360587809959073</v>
      </c>
      <c r="AH201" s="407">
        <f t="shared" si="152"/>
        <v>0</v>
      </c>
      <c r="AI201">
        <f t="shared" ref="AI201:AI209" si="167">2*Deadtime*Fsw*IF(VfdSky&gt;0,VfdSky,0)*H201</f>
        <v>0</v>
      </c>
      <c r="AJ201" s="408">
        <f t="shared" ref="AJ201:AJ209" si="168">IF(QrrSky&gt;0,QrrSky,QrrBot)*Fsw*(Vin-H201*RdsonTop)</f>
        <v>0.20135485440000001</v>
      </c>
      <c r="AK201">
        <f t="shared" si="134"/>
        <v>2.52E-2</v>
      </c>
      <c r="AL201" s="408">
        <f t="shared" ref="AL201:AL209" si="169">IF(Ext_VCC=1, Vdd*(QgTop+QgBot)*Fsw, Vin*(QgTop+QgBot)*Fsw)</f>
        <v>4.4160000000000005E-2</v>
      </c>
      <c r="AM201" s="408">
        <f t="shared" si="135"/>
        <v>4.9347355729984298E-2</v>
      </c>
      <c r="AN201" s="408">
        <f t="shared" si="153"/>
        <v>6.9360000000000005E-2</v>
      </c>
      <c r="AO201" s="408">
        <f t="shared" si="154"/>
        <v>6.5570865814808004</v>
      </c>
      <c r="AP201">
        <f t="shared" ref="AP201:AP209" si="170">Vout*H201</f>
        <v>96</v>
      </c>
      <c r="AQ201" s="10">
        <f t="shared" si="155"/>
        <v>0.93606403223758461</v>
      </c>
      <c r="AR201" s="63">
        <f t="shared" si="156"/>
        <v>72.478784128377413</v>
      </c>
      <c r="AS201" s="63">
        <f t="shared" si="157"/>
        <v>106.80293904979537</v>
      </c>
      <c r="AT201" s="10"/>
      <c r="AU201">
        <f t="shared" si="158"/>
        <v>93.606403223758463</v>
      </c>
    </row>
    <row r="202" spans="7:47" x14ac:dyDescent="0.2">
      <c r="G202">
        <v>193</v>
      </c>
      <c r="H202">
        <f t="shared" si="159"/>
        <v>19.3</v>
      </c>
      <c r="I202" s="407">
        <f t="shared" si="136"/>
        <v>0.41367460317460319</v>
      </c>
      <c r="J202" s="408">
        <f t="shared" si="160"/>
        <v>6.822758212081129</v>
      </c>
      <c r="K202" s="408">
        <f t="shared" ref="K202:K209" si="171">H202+J202/2</f>
        <v>22.711379106040564</v>
      </c>
      <c r="L202" s="408">
        <f t="shared" si="137"/>
        <v>15.888620893959436</v>
      </c>
      <c r="M202" s="63">
        <f t="shared" si="161"/>
        <v>0</v>
      </c>
      <c r="N202" s="407">
        <f t="shared" si="138"/>
        <v>19.400236316474171</v>
      </c>
      <c r="O202" s="407">
        <f t="shared" si="139"/>
        <v>2.2153636808295198</v>
      </c>
      <c r="P202">
        <f t="shared" si="162"/>
        <v>0.2</v>
      </c>
      <c r="Q202" s="407">
        <f t="shared" ref="Q202:Q209" si="172">O202+P202</f>
        <v>2.41536368082952</v>
      </c>
      <c r="R202" s="9">
        <f t="shared" si="140"/>
        <v>1.9695606451803849</v>
      </c>
      <c r="S202" s="9">
        <f t="shared" si="141"/>
        <v>3.8791691350433741E-3</v>
      </c>
      <c r="T202" s="9">
        <f t="shared" si="142"/>
        <v>3.8791691350433741E-3</v>
      </c>
      <c r="U202" s="407">
        <f t="shared" si="143"/>
        <v>12.477754873738069</v>
      </c>
      <c r="V202" s="409">
        <f t="shared" si="144"/>
        <v>0.31138873337818829</v>
      </c>
      <c r="W202" s="407">
        <f t="shared" si="145"/>
        <v>0.31138873337818829</v>
      </c>
      <c r="X202" s="407">
        <f t="shared" si="146"/>
        <v>12.477754873738069</v>
      </c>
      <c r="Y202" s="407">
        <f t="shared" si="147"/>
        <v>0.93416620013456497</v>
      </c>
      <c r="Z202" s="407">
        <f t="shared" si="163"/>
        <v>0.19363947328331732</v>
      </c>
      <c r="AA202" s="407">
        <f t="shared" si="164"/>
        <v>6.4512E-2</v>
      </c>
      <c r="AB202" s="407">
        <f t="shared" si="165"/>
        <v>0</v>
      </c>
      <c r="AC202" s="407">
        <f t="shared" si="148"/>
        <v>1.4662646484189099</v>
      </c>
      <c r="AD202" s="407">
        <f t="shared" si="149"/>
        <v>14.855127143378786</v>
      </c>
      <c r="AE202" s="407">
        <f t="shared" si="150"/>
        <v>1.324048814675695</v>
      </c>
      <c r="AF202" s="407">
        <f t="shared" si="166"/>
        <v>0.26680320000000002</v>
      </c>
      <c r="AG202" s="407">
        <f t="shared" si="151"/>
        <v>2.1638644455167655</v>
      </c>
      <c r="AH202" s="407">
        <f t="shared" si="152"/>
        <v>0</v>
      </c>
      <c r="AI202">
        <f t="shared" si="167"/>
        <v>0</v>
      </c>
      <c r="AJ202" s="408">
        <f t="shared" si="168"/>
        <v>0.20134517759999998</v>
      </c>
      <c r="AK202">
        <f t="shared" ref="AK202:AK209" si="173">Iq*Vin</f>
        <v>2.52E-2</v>
      </c>
      <c r="AL202" s="408">
        <f t="shared" si="169"/>
        <v>4.4160000000000005E-2</v>
      </c>
      <c r="AM202" s="408">
        <f t="shared" ref="AM202:AM209" si="174">(Vin-Vdd)*Fsw*(QgTop+QgBot)+(RdsonDRT+RdsonDRT2)*Fsw*QgTop*Vdd/(RdsonDRT+2*RGateTop+RdsonDRT2)+(RdsonDRB+RdsonDRB2)*Fsw*QgBot*Vdd/(RdsonDRB+2*RGateBot+RdsonDRB2)</f>
        <v>4.9347355729984298E-2</v>
      </c>
      <c r="AN202" s="408">
        <f t="shared" si="153"/>
        <v>6.9360000000000005E-2</v>
      </c>
      <c r="AO202" s="408">
        <f t="shared" si="154"/>
        <v>6.6314658548784262</v>
      </c>
      <c r="AP202">
        <f t="shared" si="170"/>
        <v>96.5</v>
      </c>
      <c r="AQ202" s="10">
        <f t="shared" si="155"/>
        <v>0.93569890818569468</v>
      </c>
      <c r="AR202" s="63">
        <f t="shared" si="156"/>
        <v>73.313232420945496</v>
      </c>
      <c r="AS202" s="63">
        <f t="shared" si="157"/>
        <v>108.19322227583828</v>
      </c>
      <c r="AT202" s="10"/>
      <c r="AU202">
        <f t="shared" si="158"/>
        <v>93.569890818569462</v>
      </c>
    </row>
    <row r="203" spans="7:47" x14ac:dyDescent="0.2">
      <c r="G203">
        <v>194</v>
      </c>
      <c r="H203">
        <f t="shared" si="159"/>
        <v>19.399999999999999</v>
      </c>
      <c r="I203" s="407">
        <f t="shared" si="136"/>
        <v>0.41376190476190478</v>
      </c>
      <c r="J203" s="408">
        <f t="shared" si="160"/>
        <v>6.8241980820105805</v>
      </c>
      <c r="K203" s="408">
        <f t="shared" si="171"/>
        <v>22.81209904100529</v>
      </c>
      <c r="L203" s="408">
        <f t="shared" si="137"/>
        <v>15.987900958994707</v>
      </c>
      <c r="M203" s="63">
        <f t="shared" si="161"/>
        <v>0</v>
      </c>
      <c r="N203" s="407">
        <f t="shared" si="138"/>
        <v>19.499764270930978</v>
      </c>
      <c r="O203" s="407">
        <f t="shared" si="139"/>
        <v>2.2422405797891076</v>
      </c>
      <c r="P203">
        <f t="shared" si="162"/>
        <v>0.2</v>
      </c>
      <c r="Q203" s="407">
        <f t="shared" si="172"/>
        <v>2.4422405797891078</v>
      </c>
      <c r="R203" s="9">
        <f t="shared" si="140"/>
        <v>1.9699762998260684</v>
      </c>
      <c r="S203" s="9">
        <f t="shared" si="141"/>
        <v>3.8808066218764077E-3</v>
      </c>
      <c r="T203" s="9">
        <f t="shared" si="142"/>
        <v>3.8808066218764077E-3</v>
      </c>
      <c r="U203" s="407">
        <f t="shared" si="143"/>
        <v>12.543092139343896</v>
      </c>
      <c r="V203" s="409">
        <f t="shared" si="144"/>
        <v>0.31465832083214129</v>
      </c>
      <c r="W203" s="407">
        <f t="shared" si="145"/>
        <v>0.31465832083214129</v>
      </c>
      <c r="X203" s="407">
        <f t="shared" si="146"/>
        <v>12.543092139343896</v>
      </c>
      <c r="Y203" s="407">
        <f t="shared" si="147"/>
        <v>0.94397496249642388</v>
      </c>
      <c r="Z203" s="407">
        <f t="shared" si="163"/>
        <v>0.19462716663677659</v>
      </c>
      <c r="AA203" s="407">
        <f t="shared" si="164"/>
        <v>6.4512E-2</v>
      </c>
      <c r="AB203" s="407">
        <f t="shared" si="165"/>
        <v>0</v>
      </c>
      <c r="AC203" s="407">
        <f t="shared" si="148"/>
        <v>1.4831197021822373</v>
      </c>
      <c r="AD203" s="407">
        <f t="shared" si="149"/>
        <v>14.930225926147457</v>
      </c>
      <c r="AE203" s="407">
        <f t="shared" si="150"/>
        <v>1.3374698772348343</v>
      </c>
      <c r="AF203" s="407">
        <f t="shared" si="166"/>
        <v>0.26818559999999997</v>
      </c>
      <c r="AG203" s="407">
        <f t="shared" si="151"/>
        <v>2.1920031008817809</v>
      </c>
      <c r="AH203" s="407">
        <f t="shared" si="152"/>
        <v>0</v>
      </c>
      <c r="AI203">
        <f t="shared" si="167"/>
        <v>0</v>
      </c>
      <c r="AJ203" s="408">
        <f t="shared" si="168"/>
        <v>0.20133550079999998</v>
      </c>
      <c r="AK203">
        <f t="shared" si="173"/>
        <v>2.52E-2</v>
      </c>
      <c r="AL203" s="408">
        <f t="shared" si="169"/>
        <v>4.4160000000000005E-2</v>
      </c>
      <c r="AM203" s="408">
        <f t="shared" si="174"/>
        <v>4.9347355729984298E-2</v>
      </c>
      <c r="AN203" s="408">
        <f t="shared" si="153"/>
        <v>6.9360000000000005E-2</v>
      </c>
      <c r="AO203" s="408">
        <f t="shared" si="154"/>
        <v>6.7065980111071433</v>
      </c>
      <c r="AP203">
        <f t="shared" si="170"/>
        <v>97</v>
      </c>
      <c r="AQ203" s="10">
        <f t="shared" si="155"/>
        <v>0.93533103833577824</v>
      </c>
      <c r="AR203" s="63">
        <f t="shared" si="156"/>
        <v>74.155985109111867</v>
      </c>
      <c r="AS203" s="63">
        <f t="shared" si="157"/>
        <v>109.60015504408904</v>
      </c>
      <c r="AT203" s="10"/>
      <c r="AU203">
        <f t="shared" si="158"/>
        <v>93.533103833577826</v>
      </c>
    </row>
    <row r="204" spans="7:47" x14ac:dyDescent="0.2">
      <c r="G204">
        <v>195</v>
      </c>
      <c r="H204">
        <f t="shared" si="159"/>
        <v>19.5</v>
      </c>
      <c r="I204" s="407">
        <f t="shared" si="136"/>
        <v>0.41384920634920636</v>
      </c>
      <c r="J204" s="408">
        <f t="shared" si="160"/>
        <v>6.8256379519400339</v>
      </c>
      <c r="K204" s="408">
        <f t="shared" si="171"/>
        <v>22.912818975970016</v>
      </c>
      <c r="L204" s="408">
        <f t="shared" si="137"/>
        <v>16.087181024029984</v>
      </c>
      <c r="M204" s="63">
        <f t="shared" si="161"/>
        <v>0</v>
      </c>
      <c r="N204" s="407">
        <f t="shared" si="138"/>
        <v>19.599297039798316</v>
      </c>
      <c r="O204" s="407">
        <f t="shared" si="139"/>
        <v>2.2693554438664196</v>
      </c>
      <c r="P204">
        <f t="shared" si="162"/>
        <v>0.2</v>
      </c>
      <c r="Q204" s="407">
        <f t="shared" si="172"/>
        <v>2.4693554438664198</v>
      </c>
      <c r="R204" s="9">
        <f t="shared" si="140"/>
        <v>1.9703919544717523</v>
      </c>
      <c r="S204" s="9">
        <f t="shared" si="141"/>
        <v>3.8824444542470121E-3</v>
      </c>
      <c r="T204" s="9">
        <f t="shared" si="142"/>
        <v>3.8824444542470121E-3</v>
      </c>
      <c r="U204" s="407">
        <f t="shared" si="143"/>
        <v>12.608445870541329</v>
      </c>
      <c r="V204" s="409">
        <f t="shared" si="144"/>
        <v>0.31794581454074144</v>
      </c>
      <c r="W204" s="407">
        <f t="shared" si="145"/>
        <v>0.31794581454074144</v>
      </c>
      <c r="X204" s="407">
        <f t="shared" si="146"/>
        <v>12.608445870541329</v>
      </c>
      <c r="Y204" s="407">
        <f t="shared" si="147"/>
        <v>0.95383744362222433</v>
      </c>
      <c r="Z204" s="407">
        <f t="shared" si="163"/>
        <v>0.19561485999023587</v>
      </c>
      <c r="AA204" s="407">
        <f t="shared" si="164"/>
        <v>6.4512E-2</v>
      </c>
      <c r="AB204" s="407">
        <f t="shared" si="165"/>
        <v>0</v>
      </c>
      <c r="AC204" s="407">
        <f t="shared" si="148"/>
        <v>1.5001427731801649</v>
      </c>
      <c r="AD204" s="407">
        <f t="shared" si="149"/>
        <v>15.005316963792412</v>
      </c>
      <c r="AE204" s="407">
        <f t="shared" si="150"/>
        <v>1.3509572231032581</v>
      </c>
      <c r="AF204" s="407">
        <f t="shared" si="166"/>
        <v>0.26956799999999997</v>
      </c>
      <c r="AG204" s="407">
        <f t="shared" si="151"/>
        <v>2.2204798931973642</v>
      </c>
      <c r="AH204" s="407">
        <f t="shared" si="152"/>
        <v>0</v>
      </c>
      <c r="AI204">
        <f t="shared" si="167"/>
        <v>0</v>
      </c>
      <c r="AJ204" s="408">
        <f t="shared" si="168"/>
        <v>0.20132582399999999</v>
      </c>
      <c r="AK204">
        <f t="shared" si="173"/>
        <v>2.52E-2</v>
      </c>
      <c r="AL204" s="408">
        <f t="shared" si="169"/>
        <v>4.4160000000000005E-2</v>
      </c>
      <c r="AM204" s="408">
        <f t="shared" si="174"/>
        <v>4.9347355729984298E-2</v>
      </c>
      <c r="AN204" s="408">
        <f t="shared" si="153"/>
        <v>6.9360000000000005E-2</v>
      </c>
      <c r="AO204" s="408">
        <f t="shared" si="154"/>
        <v>6.7824921932389373</v>
      </c>
      <c r="AP204">
        <f t="shared" si="170"/>
        <v>97.5</v>
      </c>
      <c r="AQ204" s="10">
        <f t="shared" si="155"/>
        <v>0.93496039411226617</v>
      </c>
      <c r="AR204" s="63">
        <f t="shared" si="156"/>
        <v>75.007138659008248</v>
      </c>
      <c r="AS204" s="63">
        <f t="shared" si="157"/>
        <v>111.02399465986821</v>
      </c>
      <c r="AT204" s="10"/>
      <c r="AU204">
        <f t="shared" si="158"/>
        <v>93.496039411226619</v>
      </c>
    </row>
    <row r="205" spans="7:47" x14ac:dyDescent="0.2">
      <c r="G205">
        <v>196</v>
      </c>
      <c r="H205">
        <f t="shared" si="159"/>
        <v>19.600000000000001</v>
      </c>
      <c r="I205" s="407">
        <f t="shared" si="136"/>
        <v>0.41393650793650799</v>
      </c>
      <c r="J205" s="408">
        <f t="shared" si="160"/>
        <v>6.8270778218694881</v>
      </c>
      <c r="K205" s="408">
        <f t="shared" si="171"/>
        <v>23.013538910934745</v>
      </c>
      <c r="L205" s="408">
        <f t="shared" si="137"/>
        <v>16.186461089065258</v>
      </c>
      <c r="M205" s="63">
        <f t="shared" si="161"/>
        <v>0</v>
      </c>
      <c r="N205" s="407">
        <f t="shared" si="138"/>
        <v>19.698834550098521</v>
      </c>
      <c r="O205" s="407">
        <f t="shared" si="139"/>
        <v>2.2967103588730384</v>
      </c>
      <c r="P205">
        <f t="shared" si="162"/>
        <v>0.2</v>
      </c>
      <c r="Q205" s="407">
        <f t="shared" si="172"/>
        <v>2.4967103588730386</v>
      </c>
      <c r="R205" s="9">
        <f t="shared" si="140"/>
        <v>1.9708076091174365</v>
      </c>
      <c r="S205" s="9">
        <f t="shared" si="141"/>
        <v>3.8840826321551863E-3</v>
      </c>
      <c r="T205" s="9">
        <f t="shared" si="142"/>
        <v>3.8840826321551863E-3</v>
      </c>
      <c r="U205" s="407">
        <f t="shared" si="143"/>
        <v>12.673816019265077</v>
      </c>
      <c r="V205" s="409">
        <f t="shared" si="144"/>
        <v>0.32125122498036018</v>
      </c>
      <c r="W205" s="407">
        <f t="shared" si="145"/>
        <v>0.32125122498036018</v>
      </c>
      <c r="X205" s="407">
        <f t="shared" si="146"/>
        <v>12.673816019265077</v>
      </c>
      <c r="Y205" s="407">
        <f t="shared" si="147"/>
        <v>0.96375367494108055</v>
      </c>
      <c r="Z205" s="407">
        <f t="shared" si="163"/>
        <v>0.19660255334369517</v>
      </c>
      <c r="AA205" s="407">
        <f t="shared" si="164"/>
        <v>6.4512E-2</v>
      </c>
      <c r="AB205" s="407">
        <f t="shared" si="165"/>
        <v>0</v>
      </c>
      <c r="AC205" s="407">
        <f t="shared" si="148"/>
        <v>1.5173358234855696</v>
      </c>
      <c r="AD205" s="407">
        <f t="shared" si="149"/>
        <v>15.080400198336086</v>
      </c>
      <c r="AE205" s="407">
        <f t="shared" si="150"/>
        <v>1.3645108208518504</v>
      </c>
      <c r="AF205" s="407">
        <f t="shared" si="166"/>
        <v>0.27095040000000004</v>
      </c>
      <c r="AG205" s="407">
        <f t="shared" si="151"/>
        <v>2.2493000807597836</v>
      </c>
      <c r="AH205" s="407">
        <f t="shared" si="152"/>
        <v>0</v>
      </c>
      <c r="AI205">
        <f t="shared" si="167"/>
        <v>0</v>
      </c>
      <c r="AJ205" s="408">
        <f t="shared" si="168"/>
        <v>0.20131614719999999</v>
      </c>
      <c r="AK205">
        <f t="shared" si="173"/>
        <v>2.52E-2</v>
      </c>
      <c r="AL205" s="408">
        <f t="shared" si="169"/>
        <v>4.4160000000000005E-2</v>
      </c>
      <c r="AM205" s="408">
        <f t="shared" si="174"/>
        <v>4.9347355729984298E-2</v>
      </c>
      <c r="AN205" s="408">
        <f t="shared" si="153"/>
        <v>6.9360000000000005E-2</v>
      </c>
      <c r="AO205" s="408">
        <f t="shared" si="154"/>
        <v>6.8591577179309065</v>
      </c>
      <c r="AP205">
        <f t="shared" si="170"/>
        <v>98</v>
      </c>
      <c r="AQ205" s="10">
        <f t="shared" si="155"/>
        <v>0.93458694626956751</v>
      </c>
      <c r="AR205" s="63">
        <f t="shared" si="156"/>
        <v>75.866791174278475</v>
      </c>
      <c r="AS205" s="63">
        <f t="shared" si="157"/>
        <v>112.46500403798917</v>
      </c>
      <c r="AT205" s="10"/>
      <c r="AU205">
        <f t="shared" si="158"/>
        <v>93.458694626956756</v>
      </c>
    </row>
    <row r="206" spans="7:47" x14ac:dyDescent="0.2">
      <c r="G206">
        <v>197</v>
      </c>
      <c r="H206">
        <f t="shared" si="159"/>
        <v>19.7</v>
      </c>
      <c r="I206" s="407">
        <f t="shared" si="136"/>
        <v>0.41402380952380952</v>
      </c>
      <c r="J206" s="408">
        <f t="shared" si="160"/>
        <v>6.8285176917989405</v>
      </c>
      <c r="K206" s="408">
        <f t="shared" si="171"/>
        <v>23.114258845899471</v>
      </c>
      <c r="L206" s="408">
        <f t="shared" si="137"/>
        <v>16.285741154100528</v>
      </c>
      <c r="M206" s="63">
        <f t="shared" si="161"/>
        <v>0</v>
      </c>
      <c r="N206" s="407">
        <f t="shared" si="138"/>
        <v>19.798376730318093</v>
      </c>
      <c r="O206" s="407">
        <f t="shared" si="139"/>
        <v>2.3243074397278689</v>
      </c>
      <c r="P206">
        <f t="shared" si="162"/>
        <v>0.2</v>
      </c>
      <c r="Q206" s="407">
        <f t="shared" si="172"/>
        <v>2.5243074397278691</v>
      </c>
      <c r="R206" s="9">
        <f t="shared" si="140"/>
        <v>1.9712232637631202</v>
      </c>
      <c r="S206" s="9">
        <f t="shared" si="141"/>
        <v>3.8857211556009275E-3</v>
      </c>
      <c r="T206" s="9">
        <f t="shared" si="142"/>
        <v>3.8857211556009275E-3</v>
      </c>
      <c r="U206" s="407">
        <f t="shared" si="143"/>
        <v>12.739202538372817</v>
      </c>
      <c r="V206" s="409">
        <f t="shared" si="144"/>
        <v>0.32457456262736883</v>
      </c>
      <c r="W206" s="407">
        <f t="shared" si="145"/>
        <v>0.32457456262736883</v>
      </c>
      <c r="X206" s="407">
        <f t="shared" si="146"/>
        <v>12.739202538372817</v>
      </c>
      <c r="Y206" s="407">
        <f t="shared" si="147"/>
        <v>0.9737236878821065</v>
      </c>
      <c r="Z206" s="407">
        <f t="shared" si="163"/>
        <v>0.19759024669715441</v>
      </c>
      <c r="AA206" s="407">
        <f t="shared" si="164"/>
        <v>6.4512E-2</v>
      </c>
      <c r="AB206" s="407">
        <f t="shared" si="165"/>
        <v>0</v>
      </c>
      <c r="AC206" s="407">
        <f t="shared" si="148"/>
        <v>1.5347008485977385</v>
      </c>
      <c r="AD206" s="407">
        <f t="shared" si="149"/>
        <v>15.155475572937872</v>
      </c>
      <c r="AE206" s="407">
        <f t="shared" si="150"/>
        <v>1.3781306390514991</v>
      </c>
      <c r="AF206" s="407">
        <f t="shared" si="166"/>
        <v>0.27233279999999999</v>
      </c>
      <c r="AG206" s="407">
        <f t="shared" si="151"/>
        <v>2.278469037076579</v>
      </c>
      <c r="AH206" s="407">
        <f t="shared" si="152"/>
        <v>0</v>
      </c>
      <c r="AI206">
        <f t="shared" si="167"/>
        <v>0</v>
      </c>
      <c r="AJ206" s="408">
        <f t="shared" si="168"/>
        <v>0.20130647039999999</v>
      </c>
      <c r="AK206">
        <f t="shared" si="173"/>
        <v>2.52E-2</v>
      </c>
      <c r="AL206" s="408">
        <f t="shared" si="169"/>
        <v>4.4160000000000005E-2</v>
      </c>
      <c r="AM206" s="408">
        <f t="shared" si="174"/>
        <v>4.9347355729984298E-2</v>
      </c>
      <c r="AN206" s="408">
        <f t="shared" si="153"/>
        <v>6.9360000000000005E-2</v>
      </c>
      <c r="AO206" s="408">
        <f t="shared" si="154"/>
        <v>6.9366040795851553</v>
      </c>
      <c r="AP206">
        <f t="shared" si="170"/>
        <v>98.5</v>
      </c>
      <c r="AQ206" s="10">
        <f t="shared" si="155"/>
        <v>0.93421066488115179</v>
      </c>
      <c r="AR206" s="63">
        <f t="shared" si="156"/>
        <v>76.735042429886917</v>
      </c>
      <c r="AS206" s="63">
        <f t="shared" si="157"/>
        <v>113.92345185382895</v>
      </c>
      <c r="AT206" s="10"/>
      <c r="AU206">
        <f t="shared" si="158"/>
        <v>93.421066488115173</v>
      </c>
    </row>
    <row r="207" spans="7:47" x14ac:dyDescent="0.2">
      <c r="G207">
        <v>198</v>
      </c>
      <c r="H207">
        <f t="shared" si="159"/>
        <v>19.8</v>
      </c>
      <c r="I207" s="407">
        <f t="shared" si="136"/>
        <v>0.41411111111111115</v>
      </c>
      <c r="J207" s="408">
        <f t="shared" si="160"/>
        <v>6.8299575617283947</v>
      </c>
      <c r="K207" s="408">
        <f t="shared" si="171"/>
        <v>23.214978780864197</v>
      </c>
      <c r="L207" s="408">
        <f t="shared" si="137"/>
        <v>16.385021219135805</v>
      </c>
      <c r="M207" s="63">
        <f t="shared" si="161"/>
        <v>0</v>
      </c>
      <c r="N207" s="407">
        <f t="shared" si="138"/>
        <v>19.897923510371232</v>
      </c>
      <c r="O207" s="407">
        <f t="shared" si="139"/>
        <v>2.3521488309287313</v>
      </c>
      <c r="P207">
        <f t="shared" si="162"/>
        <v>0.2</v>
      </c>
      <c r="Q207" s="407">
        <f t="shared" si="172"/>
        <v>2.5521488309287315</v>
      </c>
      <c r="R207" s="9">
        <f t="shared" si="140"/>
        <v>1.9716389184088046</v>
      </c>
      <c r="S207" s="9">
        <f t="shared" si="141"/>
        <v>3.8873600245842408E-3</v>
      </c>
      <c r="T207" s="9">
        <f t="shared" si="142"/>
        <v>3.8873600245842408E-3</v>
      </c>
      <c r="U207" s="407">
        <f t="shared" si="143"/>
        <v>12.804605381622251</v>
      </c>
      <c r="V207" s="409">
        <f t="shared" si="144"/>
        <v>0.32791583795813906</v>
      </c>
      <c r="W207" s="407">
        <f t="shared" si="145"/>
        <v>0.32791583795813906</v>
      </c>
      <c r="X207" s="407">
        <f t="shared" si="146"/>
        <v>12.804605381622251</v>
      </c>
      <c r="Y207" s="407">
        <f t="shared" si="147"/>
        <v>0.98374751387441717</v>
      </c>
      <c r="Z207" s="407">
        <f t="shared" si="163"/>
        <v>0.19857794005061372</v>
      </c>
      <c r="AA207" s="407">
        <f t="shared" si="164"/>
        <v>6.4512E-2</v>
      </c>
      <c r="AB207" s="407">
        <f t="shared" si="165"/>
        <v>0</v>
      </c>
      <c r="AC207" s="407">
        <f t="shared" si="148"/>
        <v>1.5522398781355451</v>
      </c>
      <c r="AD207" s="407">
        <f t="shared" si="149"/>
        <v>15.230543031865762</v>
      </c>
      <c r="AE207" s="407">
        <f t="shared" si="150"/>
        <v>1.3918166462730885</v>
      </c>
      <c r="AF207" s="407">
        <f t="shared" si="166"/>
        <v>0.27371519999999999</v>
      </c>
      <c r="AG207" s="407">
        <f t="shared" si="151"/>
        <v>2.3079922539866939</v>
      </c>
      <c r="AH207" s="407">
        <f t="shared" si="152"/>
        <v>0</v>
      </c>
      <c r="AI207">
        <f t="shared" si="167"/>
        <v>0</v>
      </c>
      <c r="AJ207" s="408">
        <f t="shared" si="168"/>
        <v>0.2012967936</v>
      </c>
      <c r="AK207">
        <f t="shared" si="173"/>
        <v>2.52E-2</v>
      </c>
      <c r="AL207" s="408">
        <f t="shared" si="169"/>
        <v>4.4160000000000005E-2</v>
      </c>
      <c r="AM207" s="408">
        <f t="shared" si="174"/>
        <v>4.9347355729984298E-2</v>
      </c>
      <c r="AN207" s="408">
        <f t="shared" si="153"/>
        <v>6.9360000000000005E-2</v>
      </c>
      <c r="AO207" s="408">
        <f t="shared" si="154"/>
        <v>7.0148409546336925</v>
      </c>
      <c r="AP207">
        <f t="shared" si="170"/>
        <v>99</v>
      </c>
      <c r="AQ207" s="10">
        <f t="shared" si="155"/>
        <v>0.9338315193281711</v>
      </c>
      <c r="AR207" s="63">
        <f t="shared" si="156"/>
        <v>77.611993906777258</v>
      </c>
      <c r="AS207" s="63">
        <f t="shared" si="157"/>
        <v>115.3996126993347</v>
      </c>
      <c r="AT207" s="10"/>
      <c r="AU207">
        <f t="shared" si="158"/>
        <v>93.383151932817114</v>
      </c>
    </row>
    <row r="208" spans="7:47" x14ac:dyDescent="0.2">
      <c r="G208">
        <v>199</v>
      </c>
      <c r="H208">
        <f t="shared" si="159"/>
        <v>19.899999999999999</v>
      </c>
      <c r="I208" s="407">
        <f t="shared" si="136"/>
        <v>0.41419841269841268</v>
      </c>
      <c r="J208" s="408">
        <f t="shared" si="160"/>
        <v>6.8313974316578472</v>
      </c>
      <c r="K208" s="408">
        <f t="shared" si="171"/>
        <v>23.315698715828923</v>
      </c>
      <c r="L208" s="408">
        <f t="shared" si="137"/>
        <v>16.484301284171075</v>
      </c>
      <c r="M208" s="63">
        <f t="shared" si="161"/>
        <v>0</v>
      </c>
      <c r="N208" s="407">
        <f t="shared" si="138"/>
        <v>19.997474821564474</v>
      </c>
      <c r="O208" s="407">
        <f t="shared" si="139"/>
        <v>2.3802367070334731</v>
      </c>
      <c r="P208">
        <f t="shared" si="162"/>
        <v>0.2</v>
      </c>
      <c r="Q208" s="407">
        <f t="shared" si="172"/>
        <v>2.5802367070334733</v>
      </c>
      <c r="R208" s="9">
        <f t="shared" si="140"/>
        <v>1.9720545730544883</v>
      </c>
      <c r="S208" s="9">
        <f t="shared" si="141"/>
        <v>3.8889992391051204E-3</v>
      </c>
      <c r="T208" s="9">
        <f t="shared" si="142"/>
        <v>3.8889992391051204E-3</v>
      </c>
      <c r="U208" s="407">
        <f t="shared" si="143"/>
        <v>12.870024503648821</v>
      </c>
      <c r="V208" s="409">
        <f t="shared" si="144"/>
        <v>0.33127506144904223</v>
      </c>
      <c r="W208" s="407">
        <f t="shared" si="145"/>
        <v>0.33127506144904223</v>
      </c>
      <c r="X208" s="407">
        <f t="shared" si="146"/>
        <v>12.870024503648821</v>
      </c>
      <c r="Y208" s="407">
        <f t="shared" si="147"/>
        <v>0.99382518434712663</v>
      </c>
      <c r="Z208" s="407">
        <f t="shared" si="163"/>
        <v>0.19956563340407296</v>
      </c>
      <c r="AA208" s="407">
        <f t="shared" si="164"/>
        <v>6.4512E-2</v>
      </c>
      <c r="AB208" s="407">
        <f t="shared" si="165"/>
        <v>0</v>
      </c>
      <c r="AC208" s="407">
        <f t="shared" si="148"/>
        <v>1.5699549765481258</v>
      </c>
      <c r="AD208" s="407">
        <f t="shared" si="149"/>
        <v>15.305602520468904</v>
      </c>
      <c r="AE208" s="407">
        <f t="shared" si="150"/>
        <v>1.4055688110875044</v>
      </c>
      <c r="AF208" s="407">
        <f t="shared" si="166"/>
        <v>0.2750976</v>
      </c>
      <c r="AG208" s="407">
        <f t="shared" si="151"/>
        <v>2.337875344883142</v>
      </c>
      <c r="AH208" s="407">
        <f t="shared" si="152"/>
        <v>0</v>
      </c>
      <c r="AI208">
        <f t="shared" si="167"/>
        <v>0</v>
      </c>
      <c r="AJ208" s="408">
        <f t="shared" si="168"/>
        <v>0.20128711679999997</v>
      </c>
      <c r="AK208">
        <f t="shared" si="173"/>
        <v>2.52E-2</v>
      </c>
      <c r="AL208" s="408">
        <f t="shared" si="169"/>
        <v>4.4160000000000005E-2</v>
      </c>
      <c r="AM208" s="408">
        <f t="shared" si="174"/>
        <v>4.9347355729984298E-2</v>
      </c>
      <c r="AN208" s="408">
        <f t="shared" si="153"/>
        <v>6.9360000000000005E-2</v>
      </c>
      <c r="AO208" s="408">
        <f t="shared" si="154"/>
        <v>7.0938782059528878</v>
      </c>
      <c r="AP208">
        <f t="shared" si="170"/>
        <v>99.5</v>
      </c>
      <c r="AQ208" s="10">
        <f t="shared" si="155"/>
        <v>0.93344947828761216</v>
      </c>
      <c r="AR208" s="63">
        <f t="shared" si="156"/>
        <v>78.497748827406284</v>
      </c>
      <c r="AS208" s="63">
        <f t="shared" si="157"/>
        <v>116.8937672441571</v>
      </c>
      <c r="AT208" s="10"/>
      <c r="AU208">
        <f t="shared" si="158"/>
        <v>93.344947828761221</v>
      </c>
    </row>
    <row r="209" spans="7:47" x14ac:dyDescent="0.2">
      <c r="G209">
        <v>200</v>
      </c>
      <c r="H209">
        <f t="shared" si="159"/>
        <v>20</v>
      </c>
      <c r="I209" s="407">
        <f t="shared" si="136"/>
        <v>0.41428571428571426</v>
      </c>
      <c r="J209" s="408">
        <f t="shared" si="160"/>
        <v>6.8328373015872996</v>
      </c>
      <c r="K209" s="408">
        <f t="shared" si="171"/>
        <v>23.416418650793648</v>
      </c>
      <c r="L209" s="408">
        <f t="shared" si="137"/>
        <v>16.583581349206352</v>
      </c>
      <c r="M209" s="63">
        <f t="shared" si="161"/>
        <v>0</v>
      </c>
      <c r="N209" s="407">
        <f t="shared" si="138"/>
        <v>20.097030596562359</v>
      </c>
      <c r="O209" s="407">
        <f t="shared" si="139"/>
        <v>2.4085732731508069</v>
      </c>
      <c r="P209">
        <f t="shared" si="162"/>
        <v>0.2</v>
      </c>
      <c r="Q209" s="407">
        <f t="shared" si="172"/>
        <v>2.6085732731508071</v>
      </c>
      <c r="R209" s="9">
        <f t="shared" si="140"/>
        <v>1.972470227700172</v>
      </c>
      <c r="S209" s="9">
        <f t="shared" si="141"/>
        <v>3.8906387991635683E-3</v>
      </c>
      <c r="T209" s="9">
        <f t="shared" si="142"/>
        <v>3.8906387991635683E-3</v>
      </c>
      <c r="U209" s="407">
        <f t="shared" si="143"/>
        <v>12.935459859944096</v>
      </c>
      <c r="V209" s="409">
        <f t="shared" si="144"/>
        <v>0.33465224357644985</v>
      </c>
      <c r="W209" s="407">
        <f t="shared" si="145"/>
        <v>0.33465224357644985</v>
      </c>
      <c r="X209" s="407">
        <f t="shared" si="146"/>
        <v>12.935459859944096</v>
      </c>
      <c r="Y209" s="407">
        <f t="shared" si="147"/>
        <v>1.0039567307293495</v>
      </c>
      <c r="Z209" s="407">
        <f t="shared" si="163"/>
        <v>0.20055332675753224</v>
      </c>
      <c r="AA209" s="407">
        <f t="shared" si="164"/>
        <v>6.4512E-2</v>
      </c>
      <c r="AB209" s="407">
        <f t="shared" si="165"/>
        <v>0</v>
      </c>
      <c r="AC209" s="407">
        <f t="shared" si="148"/>
        <v>1.5878482438435921</v>
      </c>
      <c r="AD209" s="407">
        <f t="shared" si="149"/>
        <v>15.380653985150914</v>
      </c>
      <c r="AE209" s="407">
        <f t="shared" si="150"/>
        <v>1.4193871020656323</v>
      </c>
      <c r="AF209" s="407">
        <f t="shared" si="166"/>
        <v>0.27648</v>
      </c>
      <c r="AG209" s="407">
        <f t="shared" si="151"/>
        <v>2.3681240480421204</v>
      </c>
      <c r="AH209" s="407">
        <f t="shared" si="152"/>
        <v>0</v>
      </c>
      <c r="AI209">
        <f t="shared" si="167"/>
        <v>0</v>
      </c>
      <c r="AJ209" s="408">
        <f t="shared" si="168"/>
        <v>0.20127744</v>
      </c>
      <c r="AK209">
        <f t="shared" si="173"/>
        <v>2.52E-2</v>
      </c>
      <c r="AL209" s="408">
        <f t="shared" si="169"/>
        <v>4.4160000000000005E-2</v>
      </c>
      <c r="AM209" s="408">
        <f t="shared" si="174"/>
        <v>4.9347355729984298E-2</v>
      </c>
      <c r="AN209" s="408">
        <f t="shared" si="153"/>
        <v>6.9360000000000005E-2</v>
      </c>
      <c r="AO209" s="408">
        <f t="shared" si="154"/>
        <v>7.1737258874121332</v>
      </c>
      <c r="AP209">
        <f t="shared" si="170"/>
        <v>100</v>
      </c>
      <c r="AQ209" s="10">
        <f t="shared" si="155"/>
        <v>0.93306450971996391</v>
      </c>
      <c r="AR209" s="63">
        <f t="shared" si="156"/>
        <v>79.392412192179606</v>
      </c>
      <c r="AS209" s="63">
        <f t="shared" si="157"/>
        <v>118.40620240210602</v>
      </c>
      <c r="AT209" s="10"/>
      <c r="AU209">
        <f t="shared" si="158"/>
        <v>93.306450971996384</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350</v>
      </c>
      <c r="D1" t="s">
        <v>349</v>
      </c>
    </row>
    <row r="2" spans="1:5" x14ac:dyDescent="0.2">
      <c r="A2" t="s">
        <v>347</v>
      </c>
      <c r="B2" s="62">
        <v>85</v>
      </c>
      <c r="C2" t="s">
        <v>348</v>
      </c>
      <c r="D2">
        <f>B2*1000000</f>
        <v>85000000</v>
      </c>
      <c r="E2" t="s">
        <v>10</v>
      </c>
    </row>
    <row r="3" spans="1:5" x14ac:dyDescent="0.2">
      <c r="A3" t="s">
        <v>351</v>
      </c>
      <c r="B3" s="62">
        <v>3000</v>
      </c>
      <c r="C3" t="s">
        <v>53</v>
      </c>
      <c r="D3">
        <f>B3*0.000000000001</f>
        <v>3E-9</v>
      </c>
      <c r="E3" t="s">
        <v>34</v>
      </c>
    </row>
    <row r="4" spans="1:5" x14ac:dyDescent="0.2">
      <c r="A4" t="s">
        <v>353</v>
      </c>
      <c r="B4" s="63">
        <f>1000000000*1/((D2*2*3.14159)^2*D3)</f>
        <v>1.1686430773614742</v>
      </c>
      <c r="C4" t="s">
        <v>354</v>
      </c>
      <c r="D4">
        <f>B4/1000000000</f>
        <v>1.1686430773614743E-9</v>
      </c>
      <c r="E4" t="s">
        <v>24</v>
      </c>
    </row>
    <row r="5" spans="1:5" x14ac:dyDescent="0.2">
      <c r="A5" t="s">
        <v>352</v>
      </c>
      <c r="B5">
        <f>4*B3</f>
        <v>12000</v>
      </c>
      <c r="C5" t="s">
        <v>53</v>
      </c>
      <c r="D5">
        <f>B5*0.000000000001</f>
        <v>1.2E-8</v>
      </c>
      <c r="E5" t="s">
        <v>34</v>
      </c>
    </row>
    <row r="6" spans="1:5" x14ac:dyDescent="0.2">
      <c r="A6" t="s">
        <v>355</v>
      </c>
      <c r="B6" s="4">
        <f>SQRT(D4/D3)</f>
        <v>0.62413755891936573</v>
      </c>
      <c r="C6" s="4" t="s">
        <v>274</v>
      </c>
      <c r="D6" s="4">
        <f>B6</f>
        <v>0.62413755891936573</v>
      </c>
      <c r="E6" t="s">
        <v>274</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2.75" x14ac:dyDescent="0.2"/>
  <sheetData>
    <row r="3" spans="1:5" x14ac:dyDescent="0.2">
      <c r="A3" t="s">
        <v>299</v>
      </c>
      <c r="B3">
        <f>Iripple1</f>
        <v>6.8328373015872996</v>
      </c>
    </row>
    <row r="4" spans="1:5" x14ac:dyDescent="0.2">
      <c r="A4" t="s">
        <v>7</v>
      </c>
      <c r="B4">
        <f>Fsw</f>
        <v>256000</v>
      </c>
    </row>
    <row r="6" spans="1:5" x14ac:dyDescent="0.2">
      <c r="A6" t="s">
        <v>279</v>
      </c>
      <c r="B6" s="52">
        <v>0.5</v>
      </c>
      <c r="C6" t="s">
        <v>134</v>
      </c>
      <c r="D6">
        <f>B6/1000</f>
        <v>5.0000000000000001E-4</v>
      </c>
      <c r="E6" t="s">
        <v>25</v>
      </c>
    </row>
    <row r="7" spans="1:5" x14ac:dyDescent="0.2">
      <c r="A7" t="s">
        <v>297</v>
      </c>
      <c r="B7" s="52">
        <v>20</v>
      </c>
      <c r="C7" t="s">
        <v>30</v>
      </c>
      <c r="D7">
        <f>B7/1000000</f>
        <v>2.0000000000000002E-5</v>
      </c>
      <c r="E7" t="s">
        <v>34</v>
      </c>
    </row>
    <row r="9" spans="1:5" x14ac:dyDescent="0.2">
      <c r="A9" t="s">
        <v>280</v>
      </c>
      <c r="B9" s="52">
        <v>20</v>
      </c>
      <c r="C9" t="s">
        <v>134</v>
      </c>
      <c r="D9">
        <f>B9/1000</f>
        <v>0.02</v>
      </c>
      <c r="E9" t="s">
        <v>25</v>
      </c>
    </row>
    <row r="10" spans="1:5" x14ac:dyDescent="0.2">
      <c r="A10" t="s">
        <v>298</v>
      </c>
      <c r="B10" s="52">
        <v>68</v>
      </c>
      <c r="C10" t="s">
        <v>30</v>
      </c>
      <c r="D10">
        <f>B10/1000000</f>
        <v>6.7999999999999999E-5</v>
      </c>
      <c r="E10" t="s">
        <v>34</v>
      </c>
    </row>
    <row r="12" spans="1:5" x14ac:dyDescent="0.2">
      <c r="A12" t="s">
        <v>301</v>
      </c>
      <c r="B12">
        <f>(D7/(D7+D10))*SQRT((D9*D10*B4)^2+1)/SQRT((((D6+D9)*D7*D10/(D10+D7))*B4)^2+1)</f>
        <v>0.239865678231764</v>
      </c>
      <c r="C12" t="s">
        <v>300</v>
      </c>
    </row>
    <row r="13" spans="1:5" x14ac:dyDescent="0.2">
      <c r="A13" t="s">
        <v>302</v>
      </c>
      <c r="B13">
        <f>1-B12</f>
        <v>0.76013432176823603</v>
      </c>
      <c r="C13" t="s">
        <v>300</v>
      </c>
    </row>
    <row r="15" spans="1:5" x14ac:dyDescent="0.2">
      <c r="A15" t="s">
        <v>301</v>
      </c>
      <c r="B15">
        <f>B12*(Iripple1/(2*SQRT(3)))</f>
        <v>0.47312790895926371</v>
      </c>
      <c r="C15" t="s">
        <v>2</v>
      </c>
    </row>
    <row r="16" spans="1:5" x14ac:dyDescent="0.2">
      <c r="A16" t="s">
        <v>302</v>
      </c>
      <c r="B16">
        <f>B13*(Iripple1/(2*SQRT(3)))</f>
        <v>1.4993423187409083</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Alexander Armitage</cp:lastModifiedBy>
  <cp:lastPrinted>2017-06-16T22:24:31Z</cp:lastPrinted>
  <dcterms:created xsi:type="dcterms:W3CDTF">1996-10-14T23:33:28Z</dcterms:created>
  <dcterms:modified xsi:type="dcterms:W3CDTF">2025-07-10T01:36:07Z</dcterms:modified>
</cp:coreProperties>
</file>